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BẢNG CÂN ĐỐI KẾ TOÁN" sheetId="1" r:id="rId1"/>
    <sheet name="KQKD " sheetId="2" r:id="rId2"/>
    <sheet name="KQKD quy" sheetId="3" r:id="rId3"/>
    <sheet name="BC LCTT" sheetId="4" r:id="rId4"/>
    <sheet name="TM BCTC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'BẢNG CÂN ĐỐI KẾ TOÁN'!$7:$7</definedName>
  </definedNames>
  <calcPr fullCalcOnLoad="1"/>
</workbook>
</file>

<file path=xl/sharedStrings.xml><?xml version="1.0" encoding="utf-8"?>
<sst xmlns="http://schemas.openxmlformats.org/spreadsheetml/2006/main" count="916" uniqueCount="581">
  <si>
    <t xml:space="preserve"> - Chøng kho¸n ®· niªm yÕt</t>
  </si>
  <si>
    <t>C¸c kho¶n ph¶i thu kh¸ch hµng vµ tr¶ tr­íc cho ng­êi b¸n</t>
  </si>
  <si>
    <t>5.</t>
  </si>
  <si>
    <t>Mua s¾m míi</t>
  </si>
  <si>
    <t>Ph©n lo¹i l¹i</t>
  </si>
  <si>
    <t>T¨ng kh¸c</t>
  </si>
  <si>
    <t>Thanh lý, nh­îng b¸n</t>
  </si>
  <si>
    <t>Gi¶m kh¸c</t>
  </si>
  <si>
    <t>KhÊu hao trong n¨m</t>
  </si>
  <si>
    <t>Gi¶m trong n¨m</t>
  </si>
  <si>
    <t>T¨ng trong n¨m</t>
  </si>
  <si>
    <t>Sña ch÷a lín TSC§</t>
  </si>
  <si>
    <t xml:space="preserve"> - Công ty cổ phần Sông Đà Hồng Lĩnh</t>
  </si>
  <si>
    <t>Nhµ</t>
  </si>
  <si>
    <t>Nhµ vµ quyÒn sö dông ®Êt</t>
  </si>
  <si>
    <t>C¬ së h¹ tÇng</t>
  </si>
  <si>
    <t>Sè ®Çu n¨m</t>
  </si>
  <si>
    <t>Sè cuèi n¨m</t>
  </si>
  <si>
    <t>Ph¶i tr¶ ng­êi b¸n vµ ng­êi mua tr¶ tiÒn tr­íc</t>
  </si>
  <si>
    <t>Ph¶i tr¶ ng­êi b¸n</t>
  </si>
  <si>
    <t>Ph¶i tr¶ ng­êi l¸o ®éng</t>
  </si>
  <si>
    <t>TrÝch tr­íc cho c¸c c«ng tr×nh</t>
  </si>
  <si>
    <t>Chỉ tiêu năm trước</t>
  </si>
  <si>
    <t>Chỉ tiêu năm nay</t>
  </si>
  <si>
    <t>Doanh thu cung cÊp dÞch vô</t>
  </si>
  <si>
    <t>Chi phÝ m¸y thi c«ng</t>
  </si>
  <si>
    <t>Sè liÖu so s¸nh</t>
  </si>
  <si>
    <t>Số dư 31/12/2011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</si>
  <si>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</si>
  <si>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</si>
  <si>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</si>
  <si>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</si>
  <si>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</si>
  <si>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</si>
  <si>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</si>
  <si>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</si>
  <si>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</si>
  <si>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</si>
  <si>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</si>
  <si>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</si>
  <si>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</si>
  <si>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</si>
  <si>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</si>
  <si>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</si>
  <si>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</si>
  <si>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</si>
  <si>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</si>
  <si>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</si>
  <si>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</si>
  <si>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</si>
  <si>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</si>
  <si>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</si>
  <si>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</si>
  <si>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</si>
  <si>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</si>
  <si>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</si>
  <si>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</si>
  <si>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</si>
  <si>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</si>
  <si>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</si>
  <si>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</si>
  <si>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</si>
  <si>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</si>
  <si>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</si>
  <si>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</si>
  <si>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</si>
  <si>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</si>
  <si>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</si>
  <si>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</si>
  <si>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</si>
  <si>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</si>
  <si>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</si>
  <si>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</si>
  <si>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</si>
  <si>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</si>
  <si>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</si>
  <si>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</si>
  <si>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</si>
  <si>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</si>
  <si>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</si>
  <si>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</si>
  <si>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</si>
  <si>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</si>
  <si>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</si>
  <si>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</si>
  <si>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</si>
  <si>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</si>
  <si>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</si>
  <si>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</si>
  <si>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</si>
  <si>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</si>
  <si>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</si>
  <si>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</si>
  <si>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</si>
  <si>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</si>
  <si>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</si>
  <si>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</si>
  <si>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</si>
  <si>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</si>
  <si>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</si>
  <si>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</si>
  <si>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</si>
  <si>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</si>
  <si>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</si>
  <si>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</si>
  <si>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</si>
  <si>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</si>
  <si>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</si>
  <si>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</si>
  <si>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</si>
  <si>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</si>
  <si>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</si>
  <si>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</si>
  <si>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</si>
  <si>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</si>
  <si>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</si>
  <si>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</si>
  <si>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</si>
  <si>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</si>
  <si>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</si>
  <si>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</si>
  <si>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</si>
  <si>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</si>
  <si>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</si>
  <si>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</si>
  <si>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</si>
  <si>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</si>
  <si>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</si>
  <si>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</si>
  <si>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</si>
  <si>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</si>
  <si>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</si>
  <si>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</si>
  <si>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</si>
  <si>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</si>
  <si>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</si>
  <si>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</si>
  <si>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</si>
  <si>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</si>
  <si>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</si>
  <si>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</si>
  <si>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</si>
  <si>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</si>
  <si>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</si>
  <si>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</si>
  <si>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</si>
  <si>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</si>
  <si>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</si>
  <si>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</si>
  <si>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</si>
  <si>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</si>
  <si>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</si>
  <si>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</si>
  <si>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</si>
  <si>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</si>
  <si>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</si>
  <si>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</si>
  <si>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</si>
  <si>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</si>
  <si>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</si>
  <si>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</si>
  <si>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</si>
  <si>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</si>
  <si>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</si>
  <si>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</si>
  <si>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</si>
  <si>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</si>
  <si>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</si>
  <si>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</si>
  <si>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</si>
  <si>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</si>
  <si>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</si>
  <si>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</si>
  <si>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</si>
  <si>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</si>
  <si>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</si>
  <si>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</si>
  <si>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</si>
  <si>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</si>
  <si>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</si>
  <si>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</si>
  <si>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</si>
  <si>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</si>
  <si>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</si>
  <si>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</si>
  <si>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</si>
  <si>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</si>
  <si>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</si>
  <si>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</si>
  <si>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</si>
  <si>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</si>
  <si>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</si>
  <si>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</si>
  <si>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</si>
  <si>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</si>
  <si>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</si>
  <si>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</si>
  <si>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</si>
  <si>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</si>
  <si>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</si>
  <si>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</si>
  <si>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</si>
  <si>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</si>
  <si>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</si>
  <si>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</si>
  <si>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</si>
  <si>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</si>
  <si>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</si>
  <si>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</si>
  <si>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</si>
  <si>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</si>
  <si>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</si>
  <si>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</si>
  <si>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</si>
  <si>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</si>
  <si>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</si>
  <si>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</si>
  <si>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</si>
  <si>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</si>
  <si>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</si>
  <si>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</si>
  <si>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</si>
  <si>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</si>
  <si>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</si>
  <si>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</si>
  <si>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</si>
  <si>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</si>
  <si>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</si>
  <si>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</si>
  <si>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</si>
  <si>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</si>
  <si>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</si>
  <si>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</si>
  <si>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</si>
  <si>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V.01</t>
  </si>
  <si>
    <t>V.02</t>
  </si>
  <si>
    <t>VII.3.1</t>
  </si>
  <si>
    <t>VII.3.2</t>
  </si>
  <si>
    <t>V.03</t>
  </si>
  <si>
    <t>VII.3.3</t>
  </si>
  <si>
    <t>V.04</t>
  </si>
  <si>
    <t>VII.3.4</t>
  </si>
  <si>
    <t>VII.3.5</t>
  </si>
  <si>
    <t>VII.3.6</t>
  </si>
  <si>
    <t>V.05</t>
  </si>
  <si>
    <t>V.07</t>
  </si>
  <si>
    <t>V.08</t>
  </si>
  <si>
    <t>V.09</t>
  </si>
  <si>
    <t>VII.3.7</t>
  </si>
  <si>
    <t>VII.3.8</t>
  </si>
  <si>
    <t>V.10</t>
  </si>
  <si>
    <t>VII.3.9</t>
  </si>
  <si>
    <t>V.11</t>
  </si>
  <si>
    <t>V.12</t>
  </si>
  <si>
    <t>VIII.6.14</t>
  </si>
  <si>
    <t>V.19</t>
  </si>
  <si>
    <t>VIII.6.15</t>
  </si>
  <si>
    <t>V.13</t>
  </si>
  <si>
    <t>V.14</t>
  </si>
  <si>
    <t>Ng­êi lËp biÓu</t>
  </si>
  <si>
    <t>NguyÔn ThÞ Hµ</t>
  </si>
  <si>
    <t>KÕ to¸n tr­ëng</t>
  </si>
  <si>
    <t>Chu Danh Ph­¬ng</t>
  </si>
  <si>
    <t>Tæng Gi¸m ®èc</t>
  </si>
  <si>
    <t>Phan V¨n Hïng</t>
  </si>
  <si>
    <t>Đơn vị : Đồng</t>
  </si>
  <si>
    <t>Mẫu số : B01-DN</t>
  </si>
  <si>
    <t>Mẫu số : B02-DN</t>
  </si>
  <si>
    <t>1. Doanh thu bán hàng và cung cấp dịch vụ</t>
  </si>
  <si>
    <t>VI.16</t>
  </si>
  <si>
    <t>2. Các khoản giảm trừ doanh thu</t>
  </si>
  <si>
    <t>VI.17</t>
  </si>
  <si>
    <t>3. Doanh thu thuần về bán hàng và cung cấp dịch vụ (10 = 01 - 02)</t>
  </si>
  <si>
    <t>10</t>
  </si>
  <si>
    <t>4. Giá vốn hàng bán</t>
  </si>
  <si>
    <t>11</t>
  </si>
  <si>
    <t>VI.18</t>
  </si>
  <si>
    <t>5. Lợi nhuận gộp về bán hàng và cung cấp dịch vụ(20=10-11)</t>
  </si>
  <si>
    <t>20</t>
  </si>
  <si>
    <t>6. Doanh thu hoạt động tài chính</t>
  </si>
  <si>
    <t>21</t>
  </si>
  <si>
    <t>VI.19</t>
  </si>
  <si>
    <t>7. Chi phí tài chính</t>
  </si>
  <si>
    <t>22</t>
  </si>
  <si>
    <t>VI.20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</si>
  <si>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</si>
  <si>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</si>
  <si>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</si>
  <si>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</si>
  <si>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</si>
  <si>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</si>
  <si>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VII.2.10</t>
  </si>
  <si>
    <t>10. Lợi nhuận thuần từ hoạt động kinh doanh{30=20+(21-22) - (24+25)}</t>
  </si>
  <si>
    <t>30</t>
  </si>
  <si>
    <t>11. Thu nhập khác</t>
  </si>
  <si>
    <t>31</t>
  </si>
  <si>
    <t>VII.2.11</t>
  </si>
  <si>
    <t>12. Chi phí khác</t>
  </si>
  <si>
    <t>32</t>
  </si>
  <si>
    <t>VII.2.12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</si>
  <si>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</si>
  <si>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</si>
  <si>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</si>
  <si>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</si>
  <si>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</si>
  <si>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</si>
  <si>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VI.21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</si>
  <si>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</si>
  <si>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</si>
  <si>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</si>
  <si>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</si>
  <si>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</si>
  <si>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</si>
  <si>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</si>
  <si>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</si>
  <si>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</si>
  <si>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</si>
  <si>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</si>
  <si>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</si>
  <si>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                Tæng gi¸m ®èc</t>
  </si>
  <si>
    <t xml:space="preserve">                       Phan V¨n Hïng</t>
  </si>
  <si>
    <t>C«ng ty Cæ phÇn s«ng ®µ 909</t>
  </si>
  <si>
    <t xml:space="preserve">B¸o c¸o tµi chÝnh </t>
  </si>
  <si>
    <t>§Þa chØ: Toµ nhµ S«ng §µ- §g Ph¹m Hïng- Mü §×nh -TL - HN.</t>
  </si>
  <si>
    <t xml:space="preserve">Tel: (84) 04 7684495           Fax: (84) 04 7684490 </t>
  </si>
  <si>
    <t>MÉu sè B 09 - DN</t>
  </si>
  <si>
    <t>Th«ng tin bæ sung cho c¸c kho¶n môc tr×nh bµy trong b¶ng c©n ®èi kÕ to¸n</t>
  </si>
  <si>
    <t>1.</t>
  </si>
  <si>
    <t>TiÒn</t>
  </si>
  <si>
    <t>§èi t­îng</t>
  </si>
  <si>
    <t>VND</t>
  </si>
  <si>
    <t>TiÒn mÆt</t>
  </si>
  <si>
    <t>TiÒn göi ng©n hµng</t>
  </si>
  <si>
    <t>Tæng céng</t>
  </si>
  <si>
    <t>2.</t>
  </si>
  <si>
    <t>C¸c kho¶n ®Çu t­ tµi chÝnh ng¾n h¹n</t>
  </si>
  <si>
    <t>§Çu t­ ng¾n h¹n</t>
  </si>
  <si>
    <t xml:space="preserve"> Dù phßng gi¶m gi¸ ®Çu t­ ng¾n h¹n</t>
  </si>
  <si>
    <t>3.</t>
  </si>
  <si>
    <t>Ph¶i thu kh¸ch hµng</t>
  </si>
  <si>
    <t>Tr¶ tr­íc cho ng­êi b¸n</t>
  </si>
  <si>
    <t>C¸c kho¶n ph¶i thu kh¸c</t>
  </si>
  <si>
    <t>4.</t>
  </si>
  <si>
    <t>Hµng tån kho</t>
  </si>
  <si>
    <t>Nguyªn liÖu, vËt liÖu</t>
  </si>
  <si>
    <t xml:space="preserve">C«ng cô, dông cô </t>
  </si>
  <si>
    <t>Chi phÝ s¶n xuÊt kinh doanh dë dang</t>
  </si>
  <si>
    <t>Tæng céng gi¸ gèc hµng tån kho</t>
  </si>
  <si>
    <t>Dù phßng gi¶m gi¸ hµng tån kho</t>
  </si>
  <si>
    <t>Tæng céng gi¸ trÞ thuÇn hµng tån kho</t>
  </si>
  <si>
    <t>Tµi s¶n ng¾n h¹n kh¸c</t>
  </si>
  <si>
    <t>ThuÕ GTGT ®­îc khÊu trõ</t>
  </si>
  <si>
    <t>ThuÕ vµ c¸c kho¶n ph¶i thu Nhµ n­íc</t>
  </si>
  <si>
    <t>T¹m øng</t>
  </si>
  <si>
    <t>Ký c­îc, ký quü ng¾n h¹n</t>
  </si>
  <si>
    <t>T¨ng, gi¶m tµi s¶n cè ®Þnh h÷u h×nh</t>
  </si>
  <si>
    <t>Kho¶n môc</t>
  </si>
  <si>
    <t>M¸y mãc, thiÕt bÞ</t>
  </si>
  <si>
    <t>Ph­¬ng tiÖn vËn t¶i</t>
  </si>
  <si>
    <t>ThiÕt bÞ, dông cô qu¶n lý</t>
  </si>
  <si>
    <t>Nguyªn gi¸</t>
  </si>
  <si>
    <t>T¨ng trong kú</t>
  </si>
  <si>
    <t>Gi¶m trong kú</t>
  </si>
  <si>
    <t>Gi¸ trÞ hao mßn luü kÕ</t>
  </si>
  <si>
    <t>Gi¸ trÞ cßn l¹i</t>
  </si>
  <si>
    <t>T¨ng, gi¶m tµi s¶n cè ®Þnh v« h×nh</t>
  </si>
  <si>
    <t>QuyÒn sö dông ®Êt</t>
  </si>
  <si>
    <t>Ph¸t minh, s¸ng chÕ</t>
  </si>
  <si>
    <t>PhÇn mÒm, th­¬ng hiÖu</t>
  </si>
  <si>
    <t>C«ng ty cæ phÇn S«ng §µ 909</t>
  </si>
  <si>
    <t>C«ng ty cæ phÇn S«ng §µ Hång LÜnh</t>
  </si>
  <si>
    <t>Chi phÝ x©y dùng c¬ b¶n dë dang</t>
  </si>
  <si>
    <t xml:space="preserve">1. Mua sắm TSCD </t>
  </si>
  <si>
    <t xml:space="preserve">2. XDCB - theo từng công trình </t>
  </si>
  <si>
    <t xml:space="preserve"> - Dự án đất Tân vạn </t>
  </si>
  <si>
    <t xml:space="preserve"> - Ban quản lý các dự án ở Hà Nội </t>
  </si>
  <si>
    <t xml:space="preserve"> - Dự án nhà văn phòng/trụ sở Công ty</t>
  </si>
  <si>
    <t xml:space="preserve"> - Dự án Thủy điện Phình Hồ </t>
  </si>
  <si>
    <t xml:space="preserve"> - Dự án Mỏ đá Nhà nương - Sông Đà Hồng Lĩnh</t>
  </si>
  <si>
    <t xml:space="preserve"> - Sàn giao dịch BĐS</t>
  </si>
  <si>
    <t xml:space="preserve">3. Sửa chữa lớn </t>
  </si>
  <si>
    <t>T¨ng, gi¶m tµi s¶n bÊt ®éng s¶n ®Çu t­</t>
  </si>
  <si>
    <t xml:space="preserve">C¸c kho¶n ®Çu t­ tµi chÝnh dµi h¹n </t>
  </si>
  <si>
    <t>§Çu t­ cæ phiÕu</t>
  </si>
  <si>
    <t>§Çu t­ tr¸i phiÕu</t>
  </si>
  <si>
    <t>Chi phÝ tr¶ tr­íc dµi h¹n</t>
  </si>
  <si>
    <t>Vay vµ nî ng¾n h¹n</t>
  </si>
  <si>
    <t>Vay ng¾n h¹n</t>
  </si>
  <si>
    <t xml:space="preserve"> - Ng©n hµng liªn doanh Lµo ViÖt</t>
  </si>
  <si>
    <t xml:space="preserve"> - Ng©n hµng Ngo¹i th­¬ng VN - CN Th¨ng Long</t>
  </si>
  <si>
    <t xml:space="preserve"> - Ng©n hµng ®Çu t­ Thanh Xu©n</t>
  </si>
  <si>
    <t xml:space="preserve">  -C«ng ty chøng kho¸n Clicfone             </t>
  </si>
  <si>
    <t xml:space="preserve"> - Ng©n hµng Quèc tÕ (VIP)-CN Long Biªn                                                                                                   </t>
  </si>
  <si>
    <t>Nîi dµi h¹n ®Õn h¹n tr¶</t>
  </si>
  <si>
    <t xml:space="preserve"> - Techcombank NhuÖ Giang</t>
  </si>
  <si>
    <t xml:space="preserve"> - Maritime Bank - Thanh Xu©n                                                                                                      </t>
  </si>
  <si>
    <t xml:space="preserve"> - Ng©n hµng NNPTNT Mü §×nh</t>
  </si>
  <si>
    <t>Ng­êi mua tr¶ tiÒn tr­íc</t>
  </si>
  <si>
    <t>ThuÕ vµ c¸c kho¶n ph¶i nép nhµ n­íc</t>
  </si>
  <si>
    <t>§¬n vÞ tÝnh: VND</t>
  </si>
  <si>
    <t>ThuÕ GTGT</t>
  </si>
  <si>
    <t>ThuÕ thu nhËp doanh nghiÖp</t>
  </si>
  <si>
    <t>ThuÕ thu nhËp c¸ nh©n</t>
  </si>
  <si>
    <t>C¸c lo¹i thuÕ kh¸c</t>
  </si>
  <si>
    <t>Ph¶i tr¶ ng­êi lao ®éng</t>
  </si>
  <si>
    <t>Chi phÝ ph¶i tr¶</t>
  </si>
  <si>
    <t>C¸c kho¶n ph¶i tr¶, ph¶i nép ng¾n h¹n kh¸c</t>
  </si>
  <si>
    <t>Kinh phÝ c«ng ®oµn</t>
  </si>
  <si>
    <t>B¶o hiÓm x· héi, b¶o hiÓm y tÕ</t>
  </si>
  <si>
    <t>Ph¶i tr¶, ph¶i nép kh¸c</t>
  </si>
  <si>
    <t>Vay vµ nî dµi h¹n</t>
  </si>
  <si>
    <t xml:space="preserve"> - Ng©n hµng Maritime Bank - Thanh Xu©n                                                                                                      </t>
  </si>
  <si>
    <t xml:space="preserve">  - Ng©n hµng §TPT CN Thanh Xu©n</t>
  </si>
  <si>
    <t xml:space="preserve">  - Ng©n hµn Techcombank NhuÖ Giang</t>
  </si>
  <si>
    <t>Vèn chñ së h÷u</t>
  </si>
  <si>
    <t>Đơn vị : VND</t>
  </si>
  <si>
    <t>B¶ng ®èi chiÕu biÕn ®éng cña vèn chñ së h÷u</t>
  </si>
  <si>
    <t>Tăng trong kỳ</t>
  </si>
  <si>
    <t>Giảm trong kỳ</t>
  </si>
  <si>
    <t>Vốn đầu tư của chủ sở hữu</t>
  </si>
  <si>
    <t>Thặng dư vốn cổ phần</t>
  </si>
  <si>
    <t>Quỹ đầu tư phát triển</t>
  </si>
  <si>
    <t>Quỹ dự phòng tài chính</t>
  </si>
  <si>
    <t>Cộng</t>
  </si>
  <si>
    <t>Chi tiết vốn đầu tư của chủ sở hữu</t>
  </si>
  <si>
    <t xml:space="preserve">Vốn góp của Công ty Cổ Phần Sông Đà 9 </t>
  </si>
  <si>
    <t>Vốn góp của các đối tượng khác</t>
  </si>
  <si>
    <t>Các giao dịch về vốn với các Chủ sở hữu và phân phối cổ tức, chia lợi nhuận</t>
  </si>
  <si>
    <t>Vốn góp đầu kỳ</t>
  </si>
  <si>
    <t>Vốn góp tăng trong kỳ</t>
  </si>
  <si>
    <t>Vốn góp giảm trong kỳ</t>
  </si>
  <si>
    <t>Vốn góp cuối kỳ</t>
  </si>
  <si>
    <t>Cổ phiếu</t>
  </si>
  <si>
    <t xml:space="preserve">- Số lượng cổ phiếu đăng ký phát hành </t>
  </si>
  <si>
    <t xml:space="preserve">- Số lượng cổ phiếu đã bán ra </t>
  </si>
  <si>
    <t xml:space="preserve">  + Cổ phiếu phổ thông</t>
  </si>
  <si>
    <t xml:space="preserve">  + Cổ phiếu ưu đãi</t>
  </si>
  <si>
    <t>- Số lượng cổ phiếu được mua lại</t>
  </si>
  <si>
    <t>- Số lượng cổ phiếu đang lưu hành</t>
  </si>
  <si>
    <t>Mệnh giá cổ phiếu đang lưu hành: 10.000 VND</t>
  </si>
  <si>
    <t>Các quỹ của Doanh nghiệp</t>
  </si>
  <si>
    <t>- Quỹ đầu tư phát triển</t>
  </si>
  <si>
    <t>- Quỹ dự phòng tài chính</t>
  </si>
  <si>
    <t>- Quỹ khác thuộc vốn chủ sở hữu</t>
  </si>
  <si>
    <t>VI.</t>
  </si>
  <si>
    <t>Th«ng tin bæ sung cho c¸c kho¶n môc tr×nh bµy trong b¸o c¸o kÕt qu¶ ho¹t ®éng kinh doanh</t>
  </si>
  <si>
    <t>Tæng doanh thu b¸n hµng vµ cung cÊp dÞch vô</t>
  </si>
  <si>
    <t>Doanh thu hîp ®ång x©y dùng</t>
  </si>
  <si>
    <t>C¸c kho¶n gi¶m trõ doanh thu</t>
  </si>
  <si>
    <t>ChiÕt khÊu th­¬ng m¹i</t>
  </si>
  <si>
    <t>Gi¶m gi¸ hµng b¸n</t>
  </si>
  <si>
    <t>Doanh thu thuÇn vÒ b¸n hµng vµ cung cÊp dÞch vô</t>
  </si>
  <si>
    <t>Doanh thu thuÇn trao ®æi s¶n phÈm, hµng ho¸</t>
  </si>
  <si>
    <t>Doanh thu thuÇn hîp ®ång x©y dùng</t>
  </si>
  <si>
    <t>Doanh thu thuÇn kh¸c</t>
  </si>
  <si>
    <t>Gi¸ vèn b¸n hµng</t>
  </si>
  <si>
    <t>Gi¸ vèn cña thµnh phÈm ®· b¸n</t>
  </si>
  <si>
    <t>Gi¸ vèn hîp ®ång x©y dùng</t>
  </si>
  <si>
    <t>Gi¸ vèn cña dÞch vô ®· cung cÊp</t>
  </si>
  <si>
    <t>Doanh thu ho¹t ®éng tµi chÝnh</t>
  </si>
  <si>
    <t>Chi phÝ tµi chÝnh</t>
  </si>
  <si>
    <t>Chi phÝ thuÕ thu nhËp hiÖn hµnh</t>
  </si>
  <si>
    <t>Chi phÝ thuÕ thu nhËp doanh nghiÖp tÝnh trªn thu nhËp chÞu thuÕ n¨m hiÖn hµnh</t>
  </si>
  <si>
    <t>Chi phÝ s¶n xuÊt kinh doanh theo yÕu tè</t>
  </si>
  <si>
    <t>Chi phÝ nh©n c«ng</t>
  </si>
  <si>
    <t>Chi phÝ vËt liÖu</t>
  </si>
  <si>
    <t>Chi phÝ khÊu hao TSC§</t>
  </si>
  <si>
    <t>Chi phÝ dÞch vô mua ngoµi</t>
  </si>
  <si>
    <t>Chi phÝ b»ng tiÒn kh¸c</t>
  </si>
  <si>
    <t xml:space="preserve">                                            KÕ to¸n tr­ëng</t>
  </si>
  <si>
    <t xml:space="preserve">                                  Chu Danh Ph­¬ng</t>
  </si>
  <si>
    <t>Mẫu số : B03-DN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</si>
  <si>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</si>
  <si>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</si>
  <si>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</si>
  <si>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</si>
  <si>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</si>
  <si>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</si>
  <si>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</si>
  <si>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</si>
  <si>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</si>
  <si>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</si>
  <si>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</si>
  <si>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</si>
  <si>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</si>
  <si>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</si>
  <si>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</si>
  <si>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</si>
  <si>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</si>
  <si>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</si>
  <si>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</si>
  <si>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</si>
  <si>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</si>
  <si>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</si>
  <si>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</si>
  <si>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</si>
  <si>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</si>
  <si>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</si>
  <si>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</si>
  <si>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</si>
  <si>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</si>
  <si>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</si>
  <si>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</si>
  <si>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</si>
  <si>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</si>
  <si>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</si>
  <si>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</si>
  <si>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</si>
  <si>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</si>
  <si>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DN - BẢNG CÂN ĐỐI KẾ TOÁN - HỢP NHẤT</t>
  </si>
  <si>
    <t>L·i tiÒn göi ng©n hµng</t>
  </si>
  <si>
    <t>Chi phÝ l·i vay</t>
  </si>
  <si>
    <t xml:space="preserve">DN - BÁO CÁO KẾT QUẢ KINH DOANH HỢP NHẤT  </t>
  </si>
  <si>
    <t xml:space="preserve">DN - BÁO CÁO LƯU CHUYỂN TIỀN TỆ - HỢP NHẤT - PPTT </t>
  </si>
  <si>
    <t xml:space="preserve">B¶n thuyÕt minh b¸o c¸o tµi chÝnh hîp nhÊt </t>
  </si>
  <si>
    <t xml:space="preserve">         B¸o c¸o tµi chÝnh </t>
  </si>
  <si>
    <t>CÔNG TY: Công ty cổ phần Sông Đà 909</t>
  </si>
  <si>
    <t>Báo cáo tài chính</t>
  </si>
  <si>
    <t>Địa chỉ: T9, Nhà Sông Đà, Dường Phạm Hùng, Mỹ Đình, Từ Liêm, Hà Nội</t>
  </si>
  <si>
    <t>Tel: 043 7684 495       Fax: 043 7684 490</t>
  </si>
  <si>
    <t>DN - BÁO CÁO KẾT QUẢ KINH DOANH  HỢP NHẤT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</si>
  <si>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</si>
  <si>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</si>
  <si>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</si>
  <si>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</si>
  <si>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01/01/2011</t>
  </si>
  <si>
    <t>Sè d­ ngày 01/01/2012</t>
  </si>
  <si>
    <t>T¹i ngày 01/01/2012</t>
  </si>
  <si>
    <t>Sè d­ cuèi kú</t>
  </si>
  <si>
    <t>KhÊu hao trong kú</t>
  </si>
  <si>
    <t xml:space="preserve"> - Ng©n hµng Ngo¹i th­¬ng Th¨ng Long</t>
  </si>
  <si>
    <t xml:space="preserve"> - Ng©n hµng §T&amp;PT CN NghÖ An</t>
  </si>
  <si>
    <t>Số dư 01/01/2011</t>
  </si>
  <si>
    <t>Số dư 01/01/2012</t>
  </si>
  <si>
    <t>LN sau thuế chưa phân phối</t>
  </si>
  <si>
    <t>Luü kÕ</t>
  </si>
  <si>
    <t>Mét sè chØ tiªu kh¸i qu¸t vÒ t×nh h×nh kinh doanh</t>
  </si>
  <si>
    <t>ChØ tiªu</t>
  </si>
  <si>
    <t>§VT</t>
  </si>
  <si>
    <t>1. Bè trÝ c¬ cÊu tµi s¶n vµ c¬ cÊu vèn</t>
  </si>
  <si>
    <t>1.1. Bè trÝ c¬ cÊu tµi s¶n</t>
  </si>
  <si>
    <t xml:space="preserve">  - Tµi s¶n ng¾n h¹n/Tæng tµi s¶n</t>
  </si>
  <si>
    <t>%</t>
  </si>
  <si>
    <t xml:space="preserve">  - Tµi s¶n dµi h¹n/Tæng tµi s¶n</t>
  </si>
  <si>
    <t>1.2. Bè trÝ c¬ cÊu vèn</t>
  </si>
  <si>
    <t xml:space="preserve">  - Nî ph¶i tr¶/Tæng nguån vèn</t>
  </si>
  <si>
    <t xml:space="preserve">  - Vèn chñ së h÷u/Tæng nguån vèn</t>
  </si>
  <si>
    <t>2. Kh¶ n¨ng thanh to¸n</t>
  </si>
  <si>
    <t>2.1. Kh¶ n¨ng thanh to¸n tæng qu¸t</t>
  </si>
  <si>
    <t>lÇn</t>
  </si>
  <si>
    <t>(Tæng tµi s¶n /Nî ph¶i tr¶)</t>
  </si>
  <si>
    <t>2.2. Kh¶ n¨ng thanh to¸n nî ng¾n h¹n</t>
  </si>
  <si>
    <t>(Tµi s¶n ng¾n h¹n/Nî ng¾n h¹n)</t>
  </si>
  <si>
    <t>2.3. Kh¶ n¨ng thanh to¸n nhanh</t>
  </si>
  <si>
    <t>(TiÒn hiÖn cã/Nî ng¾n h¹n)</t>
  </si>
  <si>
    <t>3. Tû suÊt sinh lêi</t>
  </si>
  <si>
    <t>3.1 Tû suÊt lîi nhuËn trªn doanh thu</t>
  </si>
  <si>
    <t xml:space="preserve"> - Tû suÊt lîi nhuËn tr­íc thuÕ/Doanh thu</t>
  </si>
  <si>
    <t xml:space="preserve"> - Tû suÊt lîi nhuËn sau thuÕ/Doanh thu</t>
  </si>
  <si>
    <t>3.2 Tû suÊt lîi nhuËn trªn tæng tµi s¶n</t>
  </si>
  <si>
    <t xml:space="preserve"> - Tû suÊt lîi nhuËn tr­íc thuÕ/Tæng tµi s¶n</t>
  </si>
  <si>
    <t xml:space="preserve"> - Tû suÊt lîi nhuËn sau thuÕ/ Tæng tµi s¶n</t>
  </si>
  <si>
    <t>3.3 Tû suÊt lîi nhuËn sau thuÕ trªn vèn chñ së h÷u</t>
  </si>
  <si>
    <t>01/01/2012</t>
  </si>
  <si>
    <t>Quý II  năm  2012</t>
  </si>
  <si>
    <t>Mẫu số  B 09 - DN</t>
  </si>
  <si>
    <t xml:space="preserve">                  Quý III n¨m 2012</t>
  </si>
  <si>
    <t>Hµ Néi , ngµy 16 th¸ng 10 n¨m 2012</t>
  </si>
  <si>
    <t>Quý III n¨m 2012</t>
  </si>
  <si>
    <t>Từ 01/01/2011 đến 30/09/2011</t>
  </si>
  <si>
    <t>Từ 01/01/2012 đến 30/09/2012</t>
  </si>
  <si>
    <t xml:space="preserve"> Hµ Néi, ngµy 16 th¸ng 10 n¨m 2012</t>
  </si>
  <si>
    <t xml:space="preserve"> Hµ Néi, ngµy 16  th¸ng 10 n¨m 2012</t>
  </si>
  <si>
    <t>30/09/2012</t>
  </si>
  <si>
    <t>Quý III</t>
  </si>
  <si>
    <t>Quý III/2012</t>
  </si>
  <si>
    <t>Sè d­ ngày 30/09/2012</t>
  </si>
  <si>
    <t>T¹i ngày 30/09/2012</t>
  </si>
  <si>
    <t>Số dư 30/09/2012</t>
  </si>
  <si>
    <t>Hµ Néi, ngµy 18 th¸ng 10 n¨m 2012</t>
  </si>
  <si>
    <t xml:space="preserve"> - §Çu t­ ng¾n h¹n kh¸c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</si>
</sst>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.VnTime"/>
      <family val="2"/>
    </font>
    <font>
      <b/>
      <sz val="11"/>
      <name val=".VnTime"/>
      <family val="2"/>
    </font>
    <font>
      <sz val="11"/>
      <color indexed="10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b/>
      <i/>
      <sz val="9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b/>
      <i/>
      <sz val="10"/>
      <name val=".VnTime"/>
      <family val="2"/>
    </font>
    <font>
      <sz val="10"/>
      <color indexed="10"/>
      <name val=".VnTime"/>
      <family val="2"/>
    </font>
    <font>
      <u val="single"/>
      <sz val="11"/>
      <name val=".VnTime"/>
      <family val="0"/>
    </font>
    <font>
      <sz val="11"/>
      <color indexed="10"/>
      <name val="Arial"/>
      <family val="0"/>
    </font>
    <font>
      <b/>
      <sz val="11"/>
      <color indexed="10"/>
      <name val=".VnTime"/>
      <family val="2"/>
    </font>
    <font>
      <i/>
      <sz val="10"/>
      <name val="Arial"/>
      <family val="0"/>
    </font>
    <font>
      <i/>
      <sz val="11"/>
      <name val="Arial"/>
      <family val="0"/>
    </font>
    <font>
      <i/>
      <sz val="9"/>
      <name val=".VnTime"/>
      <family val="2"/>
    </font>
    <font>
      <b/>
      <i/>
      <sz val="9"/>
      <name val=".VnTime"/>
      <family val="2"/>
    </font>
    <font>
      <sz val="9.05"/>
      <color indexed="8"/>
      <name val=".VnTime"/>
      <family val="0"/>
    </font>
    <font>
      <sz val="11"/>
      <color indexed="8"/>
      <name val=".VnTime"/>
      <family val="0"/>
    </font>
    <font>
      <sz val="12"/>
      <name val=".vntime"/>
      <family val="0"/>
    </font>
    <font>
      <sz val="9"/>
      <name val=".VnTime"/>
      <family val="2"/>
    </font>
    <font>
      <b/>
      <sz val="9"/>
      <name val=".VnTime"/>
      <family val="2"/>
    </font>
    <font>
      <b/>
      <sz val="9"/>
      <color indexed="10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color indexed="8"/>
      <name val="Times New Roman"/>
      <family val="1"/>
    </font>
    <font>
      <b/>
      <i/>
      <sz val="12"/>
      <name val=".VnTime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.vntime"/>
      <family val="0"/>
    </font>
    <font>
      <b/>
      <sz val="10"/>
      <name val=".VnTimeH"/>
      <family val="2"/>
    </font>
    <font>
      <sz val="10"/>
      <name val=".VnTimeH"/>
      <family val="2"/>
    </font>
    <font>
      <b/>
      <i/>
      <sz val="10"/>
      <name val="Arial"/>
      <family val="2"/>
    </font>
    <font>
      <sz val="10"/>
      <color indexed="8"/>
      <name val="Arial Narrow"/>
      <family val="2"/>
    </font>
    <font>
      <b/>
      <sz val="10"/>
      <color indexed="10"/>
      <name val=".VnTime"/>
      <family val="2"/>
    </font>
    <font>
      <i/>
      <sz val="9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1"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88" fontId="3" fillId="0" borderId="0" xfId="15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88" fontId="12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88" fontId="13" fillId="2" borderId="1" xfId="15" applyNumberFormat="1" applyFont="1" applyFill="1" applyBorder="1" applyAlignment="1">
      <alignment/>
    </xf>
    <xf numFmtId="0" fontId="7" fillId="2" borderId="1" xfId="15" applyNumberFormat="1" applyFont="1" applyFill="1" applyBorder="1" applyAlignment="1" quotePrefix="1">
      <alignment horizontal="center"/>
    </xf>
    <xf numFmtId="188" fontId="44" fillId="2" borderId="1" xfId="15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89" fontId="3" fillId="2" borderId="1" xfId="15" applyNumberFormat="1" applyFont="1" applyFill="1" applyBorder="1" applyAlignment="1">
      <alignment/>
    </xf>
    <xf numFmtId="0" fontId="12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88" fontId="6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88" fontId="5" fillId="0" borderId="2" xfId="15" applyNumberFormat="1" applyFont="1" applyFill="1" applyBorder="1" applyAlignment="1">
      <alignment/>
    </xf>
    <xf numFmtId="188" fontId="3" fillId="0" borderId="2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88" fontId="5" fillId="0" borderId="0" xfId="15" applyNumberFormat="1" applyFont="1" applyFill="1" applyAlignment="1">
      <alignment/>
    </xf>
    <xf numFmtId="188" fontId="17" fillId="0" borderId="0" xfId="15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8" fontId="5" fillId="0" borderId="0" xfId="15" applyNumberFormat="1" applyFont="1" applyFill="1" applyBorder="1" applyAlignment="1">
      <alignment/>
    </xf>
    <xf numFmtId="188" fontId="3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188" fontId="18" fillId="0" borderId="0" xfId="15" applyNumberFormat="1" applyFont="1" applyFill="1" applyAlignment="1">
      <alignment/>
    </xf>
    <xf numFmtId="188" fontId="11" fillId="0" borderId="0" xfId="15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 quotePrefix="1">
      <alignment horizontal="left"/>
    </xf>
    <xf numFmtId="188" fontId="4" fillId="0" borderId="0" xfId="15" applyNumberFormat="1" applyFont="1" applyFill="1" applyAlignment="1" quotePrefix="1">
      <alignment horizontal="right" vertical="top"/>
    </xf>
    <xf numFmtId="0" fontId="4" fillId="0" borderId="0" xfId="0" applyFont="1" applyFill="1" applyAlignment="1">
      <alignment horizontal="right" vertical="top"/>
    </xf>
    <xf numFmtId="188" fontId="4" fillId="0" borderId="2" xfId="15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188" fontId="3" fillId="0" borderId="0" xfId="15" applyNumberFormat="1" applyFont="1" applyFill="1" applyAlignment="1">
      <alignment horizontal="right" vertical="top"/>
    </xf>
    <xf numFmtId="41" fontId="3" fillId="0" borderId="0" xfId="0" applyNumberFormat="1" applyFont="1" applyFill="1" applyAlignment="1">
      <alignment horizontal="right" vertical="top"/>
    </xf>
    <xf numFmtId="188" fontId="4" fillId="0" borderId="3" xfId="15" applyNumberFormat="1" applyFont="1" applyFill="1" applyBorder="1" applyAlignment="1">
      <alignment horizontal="right" vertical="top"/>
    </xf>
    <xf numFmtId="41" fontId="4" fillId="0" borderId="0" xfId="0" applyNumberFormat="1" applyFont="1" applyFill="1" applyAlignment="1">
      <alignment horizontal="right" vertical="top"/>
    </xf>
    <xf numFmtId="188" fontId="19" fillId="0" borderId="0" xfId="15" applyNumberFormat="1" applyFont="1" applyFill="1" applyBorder="1" applyAlignment="1">
      <alignment horizontal="right" vertical="top"/>
    </xf>
    <xf numFmtId="188" fontId="4" fillId="0" borderId="0" xfId="15" applyNumberFormat="1" applyFont="1" applyFill="1" applyBorder="1" applyAlignment="1">
      <alignment horizontal="right" vertical="top"/>
    </xf>
    <xf numFmtId="188" fontId="6" fillId="0" borderId="0" xfId="15" applyNumberFormat="1" applyFont="1" applyFill="1" applyBorder="1" applyAlignment="1">
      <alignment horizontal="right" vertical="top"/>
    </xf>
    <xf numFmtId="41" fontId="6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188" fontId="7" fillId="0" borderId="0" xfId="15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41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 vertical="top"/>
    </xf>
    <xf numFmtId="188" fontId="3" fillId="0" borderId="0" xfId="15" applyNumberFormat="1" applyFont="1" applyFill="1" applyBorder="1" applyAlignment="1">
      <alignment horizontal="right" vertical="top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2" borderId="1" xfId="15" applyNumberFormat="1" applyFont="1" applyFill="1" applyBorder="1" applyAlignment="1" quotePrefix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8" fontId="3" fillId="0" borderId="2" xfId="15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justify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justify"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1" fillId="0" borderId="0" xfId="15" applyNumberFormat="1" applyFont="1" applyFill="1" applyAlignment="1">
      <alignment/>
    </xf>
    <xf numFmtId="41" fontId="27" fillId="0" borderId="0" xfId="0" applyNumberFormat="1" applyFont="1" applyFill="1" applyAlignment="1">
      <alignment/>
    </xf>
    <xf numFmtId="0" fontId="28" fillId="0" borderId="0" xfId="0" applyFont="1" applyFill="1" applyAlignment="1">
      <alignment horizontal="left"/>
    </xf>
    <xf numFmtId="188" fontId="29" fillId="0" borderId="0" xfId="15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 horizontal="left"/>
    </xf>
    <xf numFmtId="188" fontId="3" fillId="0" borderId="2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/>
    </xf>
    <xf numFmtId="0" fontId="21" fillId="0" borderId="0" xfId="0" applyFont="1" applyFill="1" applyAlignment="1">
      <alignment/>
    </xf>
    <xf numFmtId="0" fontId="3" fillId="2" borderId="1" xfId="15" applyNumberFormat="1" applyFont="1" applyFill="1" applyBorder="1" applyAlignment="1" quotePrefix="1">
      <alignment horizontal="center" vertical="center"/>
    </xf>
    <xf numFmtId="188" fontId="0" fillId="2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 horizontal="right" wrapText="1"/>
    </xf>
    <xf numFmtId="0" fontId="31" fillId="0" borderId="0" xfId="0" applyFont="1" applyAlignment="1">
      <alignment/>
    </xf>
    <xf numFmtId="188" fontId="4" fillId="0" borderId="4" xfId="15" applyNumberFormat="1" applyFont="1" applyFill="1" applyBorder="1" applyAlignment="1">
      <alignment horizontal="right" vertical="top"/>
    </xf>
    <xf numFmtId="188" fontId="3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/>
    </xf>
    <xf numFmtId="41" fontId="2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188" fontId="5" fillId="0" borderId="0" xfId="15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justify"/>
    </xf>
    <xf numFmtId="188" fontId="6" fillId="0" borderId="0" xfId="15" applyNumberFormat="1" applyFont="1" applyFill="1" applyAlignment="1">
      <alignment horizontal="right" vertical="top"/>
    </xf>
    <xf numFmtId="41" fontId="23" fillId="0" borderId="0" xfId="0" applyNumberFormat="1" applyFont="1" applyFill="1" applyAlignment="1">
      <alignment/>
    </xf>
    <xf numFmtId="0" fontId="14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188" fontId="18" fillId="0" borderId="0" xfId="15" applyNumberFormat="1" applyFont="1" applyFill="1" applyAlignment="1">
      <alignment/>
    </xf>
    <xf numFmtId="0" fontId="3" fillId="0" borderId="0" xfId="0" applyFont="1" applyFill="1" applyAlignment="1">
      <alignment horizontal="justify" vertical="top" wrapText="1"/>
    </xf>
    <xf numFmtId="188" fontId="13" fillId="0" borderId="0" xfId="15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 wrapText="1"/>
    </xf>
    <xf numFmtId="41" fontId="13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right" vertical="top" wrapText="1"/>
    </xf>
    <xf numFmtId="188" fontId="13" fillId="0" borderId="0" xfId="15" applyNumberFormat="1" applyFont="1" applyFill="1" applyBorder="1" applyAlignment="1">
      <alignment horizontal="right" vertical="top"/>
    </xf>
    <xf numFmtId="188" fontId="16" fillId="0" borderId="0" xfId="15" applyNumberFormat="1" applyFont="1" applyFill="1" applyAlignment="1">
      <alignment horizontal="right" vertical="top"/>
    </xf>
    <xf numFmtId="41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88" fontId="13" fillId="0" borderId="0" xfId="15" applyNumberFormat="1" applyFont="1" applyFill="1" applyAlignment="1">
      <alignment horizontal="right" vertical="top"/>
    </xf>
    <xf numFmtId="188" fontId="13" fillId="0" borderId="0" xfId="15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justify" vertical="top" wrapText="1"/>
    </xf>
    <xf numFmtId="188" fontId="12" fillId="0" borderId="4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justify" wrapText="1"/>
    </xf>
    <xf numFmtId="41" fontId="19" fillId="0" borderId="0" xfId="0" applyNumberFormat="1" applyFont="1" applyFill="1" applyBorder="1" applyAlignment="1">
      <alignment horizontal="right" vertical="top"/>
    </xf>
    <xf numFmtId="41" fontId="19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left"/>
    </xf>
    <xf numFmtId="188" fontId="3" fillId="0" borderId="0" xfId="15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vertical="top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188" fontId="35" fillId="0" borderId="0" xfId="15" applyNumberFormat="1" applyFont="1" applyFill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Fill="1" applyAlignment="1" quotePrefix="1">
      <alignment horizontal="left"/>
    </xf>
    <xf numFmtId="0" fontId="37" fillId="0" borderId="0" xfId="0" applyFont="1" applyFill="1" applyAlignment="1">
      <alignment vertical="top"/>
    </xf>
    <xf numFmtId="0" fontId="34" fillId="0" borderId="0" xfId="0" applyFont="1" applyFill="1" applyAlignment="1">
      <alignment/>
    </xf>
    <xf numFmtId="188" fontId="35" fillId="0" borderId="0" xfId="15" applyNumberFormat="1" applyFont="1" applyFill="1" applyAlignment="1">
      <alignment/>
    </xf>
    <xf numFmtId="188" fontId="34" fillId="0" borderId="0" xfId="15" applyNumberFormat="1" applyFont="1" applyFill="1" applyAlignment="1">
      <alignment/>
    </xf>
    <xf numFmtId="0" fontId="33" fillId="0" borderId="0" xfId="0" applyFont="1" applyFill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188" fontId="13" fillId="0" borderId="3" xfId="15" applyNumberFormat="1" applyFont="1" applyFill="1" applyBorder="1" applyAlignment="1">
      <alignment horizontal="right" vertical="top"/>
    </xf>
    <xf numFmtId="188" fontId="3" fillId="0" borderId="3" xfId="15" applyNumberFormat="1" applyFont="1" applyFill="1" applyBorder="1" applyAlignment="1">
      <alignment horizontal="right" vertical="top"/>
    </xf>
    <xf numFmtId="0" fontId="36" fillId="0" borderId="0" xfId="0" applyFont="1" applyAlignment="1">
      <alignment horizontal="center"/>
    </xf>
    <xf numFmtId="188" fontId="12" fillId="0" borderId="0" xfId="15" applyNumberFormat="1" applyFont="1" applyFill="1" applyBorder="1" applyAlignment="1">
      <alignment horizontal="right" vertical="top"/>
    </xf>
    <xf numFmtId="0" fontId="40" fillId="0" borderId="0" xfId="0" applyFont="1" applyAlignment="1">
      <alignment horizontal="left" indent="2"/>
    </xf>
    <xf numFmtId="188" fontId="41" fillId="0" borderId="0" xfId="0" applyNumberFormat="1" applyFont="1" applyFill="1" applyAlignment="1">
      <alignment/>
    </xf>
    <xf numFmtId="188" fontId="4" fillId="0" borderId="0" xfId="15" applyNumberFormat="1" applyFont="1" applyFill="1" applyAlignment="1">
      <alignment horizontal="right" vertical="top"/>
    </xf>
    <xf numFmtId="188" fontId="32" fillId="0" borderId="2" xfId="15" applyNumberFormat="1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right" vertical="top"/>
    </xf>
    <xf numFmtId="0" fontId="42" fillId="0" borderId="0" xfId="0" applyFont="1" applyAlignment="1">
      <alignment wrapText="1"/>
    </xf>
    <xf numFmtId="188" fontId="34" fillId="0" borderId="0" xfId="15" applyNumberFormat="1" applyFont="1" applyFill="1" applyAlignment="1">
      <alignment/>
    </xf>
    <xf numFmtId="0" fontId="43" fillId="0" borderId="0" xfId="0" applyFont="1" applyAlignment="1">
      <alignment horizontal="left" indent="2"/>
    </xf>
    <xf numFmtId="0" fontId="12" fillId="0" borderId="0" xfId="0" applyFont="1" applyFill="1" applyBorder="1" applyAlignment="1">
      <alignment horizontal="right" vertical="top"/>
    </xf>
    <xf numFmtId="188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88" fontId="0" fillId="0" borderId="0" xfId="15" applyNumberFormat="1" applyFont="1" applyFill="1" applyAlignment="1">
      <alignment/>
    </xf>
    <xf numFmtId="0" fontId="45" fillId="0" borderId="0" xfId="0" applyFont="1" applyFill="1" applyAlignment="1">
      <alignment/>
    </xf>
    <xf numFmtId="0" fontId="30" fillId="0" borderId="0" xfId="0" applyFont="1" applyAlignment="1">
      <alignment wrapText="1"/>
    </xf>
    <xf numFmtId="37" fontId="11" fillId="0" borderId="0" xfId="0" applyNumberFormat="1" applyFont="1" applyFill="1" applyAlignment="1">
      <alignment/>
    </xf>
    <xf numFmtId="188" fontId="46" fillId="0" borderId="0" xfId="15" applyNumberFormat="1" applyFont="1" applyFill="1" applyAlignment="1">
      <alignment horizontal="right" vertical="top"/>
    </xf>
    <xf numFmtId="0" fontId="4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88" fontId="46" fillId="0" borderId="0" xfId="15" applyNumberFormat="1" applyFont="1" applyFill="1" applyAlignment="1">
      <alignment horizontal="right" vertical="top" wrapText="1"/>
    </xf>
    <xf numFmtId="0" fontId="46" fillId="0" borderId="0" xfId="0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188" fontId="5" fillId="0" borderId="0" xfId="15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1" fontId="11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188" fontId="19" fillId="0" borderId="0" xfId="15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188" fontId="1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188" fontId="3" fillId="2" borderId="1" xfId="15" applyNumberFormat="1" applyFont="1" applyFill="1" applyBorder="1" applyAlignment="1">
      <alignment horizontal="center"/>
    </xf>
    <xf numFmtId="188" fontId="0" fillId="2" borderId="1" xfId="15" applyNumberFormat="1" applyFont="1" applyFill="1" applyBorder="1" applyAlignment="1">
      <alignment/>
    </xf>
    <xf numFmtId="0" fontId="4" fillId="2" borderId="1" xfId="15" applyNumberFormat="1" applyFont="1" applyFill="1" applyBorder="1" applyAlignment="1" quotePrefix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8" fontId="3" fillId="0" borderId="0" xfId="15" applyNumberFormat="1" applyFont="1" applyFill="1" applyAlignment="1">
      <alignment vertical="top"/>
    </xf>
    <xf numFmtId="188" fontId="7" fillId="0" borderId="0" xfId="0" applyNumberFormat="1" applyFont="1" applyAlignment="1">
      <alignment/>
    </xf>
    <xf numFmtId="188" fontId="27" fillId="0" borderId="0" xfId="0" applyNumberFormat="1" applyFont="1" applyAlignment="1">
      <alignment/>
    </xf>
    <xf numFmtId="188" fontId="4" fillId="0" borderId="0" xfId="0" applyNumberFormat="1" applyFont="1" applyFill="1" applyAlignment="1">
      <alignment/>
    </xf>
    <xf numFmtId="188" fontId="1" fillId="2" borderId="0" xfId="0" applyNumberFormat="1" applyFont="1" applyFill="1" applyAlignment="1">
      <alignment/>
    </xf>
    <xf numFmtId="188" fontId="3" fillId="0" borderId="0" xfId="0" applyNumberFormat="1" applyFont="1" applyAlignment="1">
      <alignment/>
    </xf>
    <xf numFmtId="188" fontId="41" fillId="0" borderId="0" xfId="0" applyNumberFormat="1" applyFont="1" applyFill="1" applyAlignment="1">
      <alignment/>
    </xf>
    <xf numFmtId="188" fontId="33" fillId="0" borderId="0" xfId="0" applyNumberFormat="1" applyFont="1" applyAlignment="1">
      <alignment/>
    </xf>
    <xf numFmtId="0" fontId="44" fillId="2" borderId="0" xfId="0" applyFont="1" applyFill="1" applyAlignment="1">
      <alignment/>
    </xf>
    <xf numFmtId="0" fontId="49" fillId="2" borderId="0" xfId="0" applyFont="1" applyFill="1" applyAlignment="1">
      <alignment horizontal="right"/>
    </xf>
    <xf numFmtId="0" fontId="44" fillId="2" borderId="1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wrapText="1"/>
    </xf>
    <xf numFmtId="0" fontId="44" fillId="0" borderId="5" xfId="0" applyFont="1" applyBorder="1" applyAlignment="1">
      <alignment/>
    </xf>
    <xf numFmtId="188" fontId="44" fillId="0" borderId="5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6" xfId="0" applyFont="1" applyBorder="1" applyAlignment="1">
      <alignment/>
    </xf>
    <xf numFmtId="188" fontId="44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37" fontId="50" fillId="0" borderId="6" xfId="0" applyNumberFormat="1" applyFont="1" applyBorder="1" applyAlignment="1">
      <alignment horizontal="right" vertical="top"/>
    </xf>
    <xf numFmtId="188" fontId="13" fillId="0" borderId="6" xfId="15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37" fontId="0" fillId="0" borderId="6" xfId="0" applyNumberFormat="1" applyFont="1" applyBorder="1" applyAlignment="1">
      <alignment/>
    </xf>
    <xf numFmtId="188" fontId="44" fillId="0" borderId="0" xfId="15" applyNumberFormat="1" applyFont="1" applyAlignment="1">
      <alignment/>
    </xf>
    <xf numFmtId="188" fontId="12" fillId="0" borderId="6" xfId="15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188" fontId="14" fillId="0" borderId="6" xfId="15" applyNumberFormat="1" applyFont="1" applyBorder="1" applyAlignment="1">
      <alignment/>
    </xf>
    <xf numFmtId="188" fontId="44" fillId="0" borderId="0" xfId="0" applyNumberFormat="1" applyFont="1" applyAlignment="1">
      <alignment/>
    </xf>
    <xf numFmtId="37" fontId="14" fillId="0" borderId="6" xfId="0" applyNumberFormat="1" applyFont="1" applyBorder="1" applyAlignment="1">
      <alignment/>
    </xf>
    <xf numFmtId="0" fontId="44" fillId="0" borderId="6" xfId="0" applyFont="1" applyBorder="1" applyAlignment="1">
      <alignment/>
    </xf>
    <xf numFmtId="0" fontId="44" fillId="0" borderId="0" xfId="0" applyFont="1" applyAlignment="1">
      <alignment/>
    </xf>
    <xf numFmtId="0" fontId="0" fillId="0" borderId="7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88" fontId="13" fillId="0" borderId="0" xfId="15" applyNumberFormat="1" applyFont="1" applyAlignment="1">
      <alignment/>
    </xf>
    <xf numFmtId="0" fontId="4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188" fontId="13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188" fontId="3" fillId="0" borderId="0" xfId="15" applyNumberFormat="1" applyFont="1" applyFill="1" applyAlignment="1" quotePrefix="1">
      <alignment horizontal="right" vertical="top"/>
    </xf>
    <xf numFmtId="0" fontId="0" fillId="0" borderId="0" xfId="0" applyFont="1" applyFill="1" applyAlignment="1">
      <alignment/>
    </xf>
    <xf numFmtId="41" fontId="28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justify"/>
    </xf>
    <xf numFmtId="0" fontId="44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188" fontId="13" fillId="0" borderId="0" xfId="15" applyNumberFormat="1" applyFont="1" applyFill="1" applyAlignment="1">
      <alignment/>
    </xf>
    <xf numFmtId="188" fontId="12" fillId="0" borderId="0" xfId="15" applyNumberFormat="1" applyFont="1" applyFill="1" applyAlignment="1">
      <alignment/>
    </xf>
    <xf numFmtId="0" fontId="49" fillId="0" borderId="0" xfId="0" applyFont="1" applyFill="1" applyAlignment="1">
      <alignment/>
    </xf>
    <xf numFmtId="188" fontId="14" fillId="0" borderId="0" xfId="15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37" fontId="50" fillId="0" borderId="0" xfId="0" applyNumberFormat="1" applyFont="1" applyBorder="1" applyAlignment="1">
      <alignment horizontal="right" vertical="top"/>
    </xf>
    <xf numFmtId="41" fontId="14" fillId="0" borderId="0" xfId="0" applyNumberFormat="1" applyFont="1" applyFill="1" applyAlignment="1">
      <alignment horizontal="right" vertical="top"/>
    </xf>
    <xf numFmtId="0" fontId="14" fillId="0" borderId="0" xfId="0" applyFont="1" applyAlignment="1">
      <alignment/>
    </xf>
    <xf numFmtId="188" fontId="12" fillId="0" borderId="0" xfId="15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88" fontId="51" fillId="0" borderId="0" xfId="15" applyNumberFormat="1" applyFont="1" applyFill="1" applyAlignment="1">
      <alignment/>
    </xf>
    <xf numFmtId="0" fontId="12" fillId="0" borderId="0" xfId="0" applyFont="1" applyFill="1" applyAlignment="1">
      <alignment/>
    </xf>
    <xf numFmtId="188" fontId="44" fillId="0" borderId="0" xfId="0" applyNumberFormat="1" applyFont="1" applyFill="1" applyAlignment="1">
      <alignment/>
    </xf>
    <xf numFmtId="188" fontId="12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188" fontId="12" fillId="0" borderId="0" xfId="15" applyNumberFormat="1" applyFont="1" applyFill="1" applyAlignment="1">
      <alignment horizontal="right" vertical="top"/>
    </xf>
    <xf numFmtId="3" fontId="30" fillId="0" borderId="0" xfId="0" applyNumberFormat="1" applyFont="1" applyAlignment="1">
      <alignment horizontal="right" wrapText="1"/>
    </xf>
    <xf numFmtId="188" fontId="13" fillId="0" borderId="2" xfId="15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8" fontId="13" fillId="0" borderId="2" xfId="15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3" fontId="25" fillId="0" borderId="0" xfId="0" applyNumberFormat="1" applyFont="1" applyAlignment="1">
      <alignment vertical="center"/>
    </xf>
    <xf numFmtId="188" fontId="4" fillId="0" borderId="0" xfId="15" applyNumberFormat="1" applyFont="1" applyFill="1" applyBorder="1" applyAlignment="1" quotePrefix="1">
      <alignment horizontal="right" vertical="top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right" vertical="top" wrapText="1"/>
    </xf>
    <xf numFmtId="41" fontId="12" fillId="0" borderId="0" xfId="0" applyNumberFormat="1" applyFont="1" applyFill="1" applyBorder="1" applyAlignment="1">
      <alignment horizontal="right" vertical="top"/>
    </xf>
    <xf numFmtId="41" fontId="46" fillId="0" borderId="0" xfId="0" applyNumberFormat="1" applyFont="1" applyFill="1" applyAlignment="1">
      <alignment horizontal="right" vertical="top"/>
    </xf>
    <xf numFmtId="188" fontId="13" fillId="0" borderId="0" xfId="15" applyNumberFormat="1" applyFont="1" applyFill="1" applyAlignment="1">
      <alignment horizontal="right" vertical="top"/>
    </xf>
    <xf numFmtId="188" fontId="4" fillId="0" borderId="4" xfId="15" applyNumberFormat="1" applyFont="1" applyFill="1" applyBorder="1" applyAlignment="1">
      <alignment horizontal="right" vertical="top"/>
    </xf>
    <xf numFmtId="188" fontId="44" fillId="0" borderId="4" xfId="15" applyNumberFormat="1" applyFont="1" applyFill="1" applyBorder="1" applyAlignment="1">
      <alignment/>
    </xf>
    <xf numFmtId="188" fontId="14" fillId="0" borderId="8" xfId="15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188" fontId="14" fillId="2" borderId="1" xfId="15" applyNumberFormat="1" applyFont="1" applyFill="1" applyBorder="1" applyAlignment="1">
      <alignment/>
    </xf>
    <xf numFmtId="188" fontId="16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188" fontId="28" fillId="0" borderId="0" xfId="15" applyNumberFormat="1" applyFont="1" applyFill="1" applyAlignment="1">
      <alignment/>
    </xf>
    <xf numFmtId="188" fontId="33" fillId="0" borderId="0" xfId="15" applyNumberFormat="1" applyFont="1" applyAlignment="1">
      <alignment/>
    </xf>
    <xf numFmtId="0" fontId="4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justify" vertical="top" wrapText="1"/>
    </xf>
    <xf numFmtId="188" fontId="4" fillId="0" borderId="0" xfId="15" applyNumberFormat="1" applyFont="1" applyFill="1" applyBorder="1" applyAlignment="1">
      <alignment horizontal="justify" vertical="top"/>
    </xf>
    <xf numFmtId="0" fontId="3" fillId="0" borderId="12" xfId="0" applyFont="1" applyFill="1" applyBorder="1" applyAlignment="1">
      <alignment/>
    </xf>
    <xf numFmtId="188" fontId="4" fillId="0" borderId="14" xfId="15" applyNumberFormat="1" applyFont="1" applyFill="1" applyBorder="1" applyAlignment="1">
      <alignment horizontal="justify" vertical="top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horizontal="justify" vertical="top" wrapText="1"/>
    </xf>
    <xf numFmtId="188" fontId="7" fillId="0" borderId="0" xfId="15" applyNumberFormat="1" applyFont="1" applyFill="1" applyBorder="1" applyAlignment="1">
      <alignment horizontal="justify" vertical="top"/>
    </xf>
    <xf numFmtId="188" fontId="7" fillId="0" borderId="14" xfId="15" applyNumberFormat="1" applyFont="1" applyFill="1" applyBorder="1" applyAlignment="1">
      <alignment horizontal="justify" vertical="top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90" fontId="3" fillId="0" borderId="14" xfId="15" applyNumberFormat="1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188" fontId="7" fillId="0" borderId="14" xfId="15" applyNumberFormat="1" applyFont="1" applyFill="1" applyBorder="1" applyAlignment="1">
      <alignment vertical="top"/>
    </xf>
    <xf numFmtId="190" fontId="3" fillId="0" borderId="12" xfId="15" applyNumberFormat="1" applyFont="1" applyFill="1" applyBorder="1" applyAlignment="1">
      <alignment vertical="top"/>
    </xf>
    <xf numFmtId="190" fontId="3" fillId="0" borderId="0" xfId="15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indent="2"/>
    </xf>
    <xf numFmtId="188" fontId="3" fillId="0" borderId="14" xfId="15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43" fontId="3" fillId="0" borderId="14" xfId="15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/>
    </xf>
    <xf numFmtId="188" fontId="19" fillId="0" borderId="17" xfId="15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/>
    </xf>
    <xf numFmtId="188" fontId="4" fillId="0" borderId="17" xfId="15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188" fontId="4" fillId="0" borderId="11" xfId="15" applyNumberFormat="1" applyFont="1" applyFill="1" applyBorder="1" applyAlignment="1" quotePrefix="1">
      <alignment horizontal="center" vertical="top" wrapText="1"/>
    </xf>
    <xf numFmtId="0" fontId="52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41" fontId="3" fillId="0" borderId="0" xfId="0" applyNumberFormat="1" applyFont="1" applyAlignment="1">
      <alignment/>
    </xf>
    <xf numFmtId="41" fontId="2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8" fontId="4" fillId="0" borderId="0" xfId="15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top"/>
    </xf>
    <xf numFmtId="0" fontId="40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88" fontId="43" fillId="0" borderId="0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8" fontId="22" fillId="0" borderId="0" xfId="15" applyNumberFormat="1" applyFont="1" applyFill="1" applyBorder="1" applyAlignment="1">
      <alignment horizontal="right" vertical="top"/>
    </xf>
    <xf numFmtId="41" fontId="7" fillId="0" borderId="0" xfId="0" applyNumberFormat="1" applyFont="1" applyFill="1" applyAlignment="1">
      <alignment horizontal="right" vertical="top"/>
    </xf>
    <xf numFmtId="41" fontId="13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0" fontId="0" fillId="0" borderId="0" xfId="0" applyFont="1" applyFill="1" applyAlignment="1">
      <alignment/>
    </xf>
    <xf numFmtId="188" fontId="4" fillId="0" borderId="1" xfId="15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uyet%20minh%20Bao%20cao%20tai%20chinh%20cong%20ty%20quy%20IV%20nam%20201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uyet%20minh%20Bao%20cao%20tai%20chinh%20cong%20ty%20%20qu&#253;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N%20-%20B&#193;O%20C&#193;O%20K&#7870;T%20QU&#7842;%20KINH%20DOANH%20-%20QU&#2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op%20nhat%20ToanCong%20qu&#253;%20III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a\Ha-%20909\Bao%20cao%20nam%202012\Qu&#253;%20III\Cty%20me%20quy%20III-2012\Thuyet%20minh%20Bao%20cao%20tai%20chinh%20cong%20ty%20%20qu&#253;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CÂN ĐỐI KẾ TOÁN"/>
      <sheetName val="KQKD quy"/>
      <sheetName val="BC LCTT"/>
      <sheetName val="TM BCTC"/>
    </sheetNames>
    <sheetDataSet>
      <sheetData sheetId="3">
        <row r="366">
          <cell r="I366">
            <v>6759810156</v>
          </cell>
        </row>
        <row r="368">
          <cell r="I368">
            <v>4038039590</v>
          </cell>
        </row>
        <row r="410">
          <cell r="I410">
            <v>594086720</v>
          </cell>
        </row>
        <row r="623">
          <cell r="E623">
            <v>982166000</v>
          </cell>
        </row>
        <row r="630">
          <cell r="E630">
            <v>99989600000</v>
          </cell>
        </row>
        <row r="632">
          <cell r="E632">
            <v>15159711426</v>
          </cell>
        </row>
        <row r="633">
          <cell r="E633">
            <v>3296250989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ẢNG CÂN ĐỐI KẾ TOÁN"/>
      <sheetName val="KQKD quy"/>
      <sheetName val="kqkd"/>
      <sheetName val="BC LCTT"/>
      <sheetName val="TM BCTC"/>
    </sheetNames>
    <sheetDataSet>
      <sheetData sheetId="0">
        <row r="62">
          <cell r="D62">
            <v>209597132368</v>
          </cell>
        </row>
      </sheetData>
      <sheetData sheetId="4">
        <row r="59">
          <cell r="G59">
            <v>23636364</v>
          </cell>
        </row>
        <row r="96">
          <cell r="I96">
            <v>4038039590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N - BÁO CÁO KẾT QUẢ KINH DOANH"/>
    </sheetNames>
    <sheetDataSet>
      <sheetData sheetId="0">
        <row r="23">
          <cell r="D23">
            <v>-59867090</v>
          </cell>
          <cell r="F23">
            <v>823572477</v>
          </cell>
        </row>
        <row r="26">
          <cell r="D26">
            <v>-265760209</v>
          </cell>
          <cell r="F26">
            <v>617679358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KQKD(Dung)"/>
      <sheetName val="KQKDCQ "/>
      <sheetName val="KQKDCQ  Luy ke"/>
      <sheetName val="CPSXKD Quy II Toan CT"/>
      <sheetName val="CPSXKD Quy Luy ke"/>
      <sheetName val="SSCP$SLQIII TCT"/>
      <sheetName val="SSCP$SLLuy ke"/>
      <sheetName val="CDSL Quy II TCT"/>
      <sheetName val="CDSL Luy ke"/>
      <sheetName val="CDSL Luy ke (2)"/>
      <sheetName val="Sheet2"/>
      <sheetName val="Sheet1"/>
      <sheetName val="KQKD nam"/>
      <sheetName val="00000000"/>
    </sheetNames>
    <sheetDataSet>
      <sheetData sheetId="0">
        <row r="12">
          <cell r="E12">
            <v>3642785326</v>
          </cell>
        </row>
        <row r="15">
          <cell r="E15">
            <v>11297118800</v>
          </cell>
        </row>
        <row r="16">
          <cell r="E16">
            <v>-6182818777</v>
          </cell>
        </row>
        <row r="18">
          <cell r="E18">
            <v>44859711465</v>
          </cell>
        </row>
        <row r="19">
          <cell r="E19">
            <v>2364172917</v>
          </cell>
        </row>
        <row r="22">
          <cell r="E22">
            <v>838651838</v>
          </cell>
        </row>
        <row r="23">
          <cell r="E23">
            <v>-60357410</v>
          </cell>
        </row>
        <row r="25">
          <cell r="E25">
            <v>54365590500</v>
          </cell>
        </row>
        <row r="28">
          <cell r="E28">
            <v>320854839</v>
          </cell>
        </row>
        <row r="29">
          <cell r="E29">
            <v>2120443693</v>
          </cell>
        </row>
        <row r="30">
          <cell r="E30">
            <v>121634402</v>
          </cell>
        </row>
        <row r="31">
          <cell r="E31">
            <v>23445953352</v>
          </cell>
        </row>
        <row r="42">
          <cell r="E42">
            <v>74200480218</v>
          </cell>
        </row>
        <row r="43">
          <cell r="E43">
            <v>-55302553561</v>
          </cell>
        </row>
        <row r="48">
          <cell r="E48">
            <v>367425000</v>
          </cell>
        </row>
        <row r="49">
          <cell r="E49">
            <v>-168657397</v>
          </cell>
        </row>
        <row r="51">
          <cell r="E51">
            <v>43990734636</v>
          </cell>
        </row>
        <row r="54">
          <cell r="E54">
            <v>-675980259</v>
          </cell>
        </row>
        <row r="61">
          <cell r="E61">
            <v>316281383</v>
          </cell>
        </row>
        <row r="74">
          <cell r="E74">
            <v>34680209457</v>
          </cell>
        </row>
        <row r="75">
          <cell r="E75">
            <v>10842762662</v>
          </cell>
        </row>
        <row r="76">
          <cell r="E76">
            <v>6157289000</v>
          </cell>
        </row>
        <row r="77">
          <cell r="E77">
            <v>5607310218</v>
          </cell>
        </row>
        <row r="78">
          <cell r="E78">
            <v>2233346718</v>
          </cell>
        </row>
        <row r="79">
          <cell r="E79">
            <v>7755906995</v>
          </cell>
        </row>
        <row r="82">
          <cell r="E82">
            <v>3479059645</v>
          </cell>
        </row>
        <row r="83">
          <cell r="E83">
            <v>900804954</v>
          </cell>
        </row>
        <row r="84">
          <cell r="E84">
            <v>144480066</v>
          </cell>
        </row>
        <row r="89">
          <cell r="E89">
            <v>2920553530</v>
          </cell>
        </row>
        <row r="91">
          <cell r="E91">
            <v>342368666</v>
          </cell>
        </row>
        <row r="96">
          <cell r="E96">
            <v>124969290000</v>
          </cell>
        </row>
        <row r="101">
          <cell r="E101">
            <v>5169176926</v>
          </cell>
        </row>
        <row r="103">
          <cell r="E103">
            <v>3296250989</v>
          </cell>
        </row>
        <row r="105">
          <cell r="E105">
            <v>5486704321</v>
          </cell>
        </row>
      </sheetData>
      <sheetData sheetId="2">
        <row r="13">
          <cell r="G13">
            <v>23312732068</v>
          </cell>
          <cell r="I13">
            <v>86856741226</v>
          </cell>
        </row>
        <row r="14">
          <cell r="G14">
            <v>64296540</v>
          </cell>
          <cell r="I14">
            <v>893770874</v>
          </cell>
        </row>
        <row r="17">
          <cell r="G17">
            <v>16125318779</v>
          </cell>
          <cell r="I17">
            <v>65497234299</v>
          </cell>
        </row>
        <row r="20">
          <cell r="G20">
            <v>22247173</v>
          </cell>
          <cell r="I20">
            <v>1894079741</v>
          </cell>
        </row>
        <row r="21">
          <cell r="G21">
            <v>2695934315</v>
          </cell>
          <cell r="I21">
            <v>6704551344</v>
          </cell>
        </row>
        <row r="22">
          <cell r="I22">
            <v>5410946344</v>
          </cell>
        </row>
        <row r="24">
          <cell r="G24">
            <v>3120169453</v>
          </cell>
          <cell r="I24">
            <v>9640358876</v>
          </cell>
        </row>
        <row r="27">
          <cell r="I27">
            <v>324809091</v>
          </cell>
        </row>
        <row r="28">
          <cell r="I28">
            <v>21312675</v>
          </cell>
        </row>
        <row r="32">
          <cell r="G32">
            <v>339089243</v>
          </cell>
          <cell r="I32">
            <v>1621358270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ẢNG CÂN ĐỐI KẾ TOÁN"/>
      <sheetName val="KQKD quy"/>
      <sheetName val="kqkd"/>
      <sheetName val="BC LCTT"/>
      <sheetName val="TM BCTC"/>
    </sheetNames>
    <sheetDataSet>
      <sheetData sheetId="3">
        <row r="10">
          <cell r="D10">
            <v>115970155946</v>
          </cell>
        </row>
        <row r="11">
          <cell r="D11">
            <v>-21447064929</v>
          </cell>
        </row>
        <row r="12">
          <cell r="D12">
            <v>-4796280945</v>
          </cell>
        </row>
        <row r="13">
          <cell r="D13">
            <v>-10346650253</v>
          </cell>
        </row>
        <row r="15">
          <cell r="D15">
            <v>9668578772</v>
          </cell>
        </row>
        <row r="16">
          <cell r="D16">
            <v>-58740803762</v>
          </cell>
        </row>
        <row r="19">
          <cell r="D19">
            <v>-108180181</v>
          </cell>
        </row>
        <row r="21">
          <cell r="D21">
            <v>-3980000000</v>
          </cell>
        </row>
        <row r="22">
          <cell r="D22">
            <v>900000000</v>
          </cell>
        </row>
        <row r="25">
          <cell r="D25">
            <v>56540275</v>
          </cell>
        </row>
        <row r="30">
          <cell r="D30">
            <v>10548639818</v>
          </cell>
        </row>
        <row r="31">
          <cell r="D31">
            <v>-37960402816</v>
          </cell>
        </row>
        <row r="32">
          <cell r="D32">
            <v>-5532250023</v>
          </cell>
        </row>
        <row r="33">
          <cell r="D33">
            <v>-279435000</v>
          </cell>
        </row>
      </sheetData>
      <sheetData sheetId="4">
        <row r="11">
          <cell r="I11">
            <v>1672912244</v>
          </cell>
        </row>
        <row r="12">
          <cell r="I12">
            <v>1954802627</v>
          </cell>
        </row>
        <row r="17">
          <cell r="I17">
            <v>9797118800</v>
          </cell>
        </row>
        <row r="19">
          <cell r="I19">
            <v>-6182818777</v>
          </cell>
        </row>
        <row r="24">
          <cell r="I24">
            <v>44298268370</v>
          </cell>
        </row>
        <row r="25">
          <cell r="I25">
            <v>2234048917</v>
          </cell>
        </row>
        <row r="29">
          <cell r="I29">
            <v>1373376329</v>
          </cell>
        </row>
        <row r="35">
          <cell r="I35">
            <v>5548632568</v>
          </cell>
        </row>
        <row r="37">
          <cell r="I37">
            <v>47735300440</v>
          </cell>
        </row>
        <row r="45">
          <cell r="I45">
            <v>1993868828</v>
          </cell>
        </row>
        <row r="46">
          <cell r="I46">
            <v>121634402</v>
          </cell>
        </row>
        <row r="47">
          <cell r="I47">
            <v>19793497621</v>
          </cell>
        </row>
        <row r="48">
          <cell r="I48">
            <v>1014000000</v>
          </cell>
        </row>
        <row r="64">
          <cell r="E64">
            <v>2209431651</v>
          </cell>
          <cell r="G64">
            <v>2337755184</v>
          </cell>
          <cell r="I64">
            <v>57429398</v>
          </cell>
        </row>
        <row r="65">
          <cell r="G65">
            <v>1221888281</v>
          </cell>
        </row>
        <row r="94">
          <cell r="I94">
            <v>7406469786</v>
          </cell>
        </row>
        <row r="97">
          <cell r="I97">
            <v>1957835273</v>
          </cell>
        </row>
        <row r="99">
          <cell r="I99">
            <v>1713652453</v>
          </cell>
        </row>
        <row r="138">
          <cell r="I138">
            <v>272080594</v>
          </cell>
        </row>
        <row r="164">
          <cell r="I164">
            <v>6157289000</v>
          </cell>
        </row>
        <row r="165">
          <cell r="I165">
            <v>10826638517</v>
          </cell>
        </row>
        <row r="171">
          <cell r="K171">
            <v>5485675816</v>
          </cell>
        </row>
        <row r="194">
          <cell r="I194">
            <v>665447200</v>
          </cell>
        </row>
        <row r="195">
          <cell r="I195">
            <v>1406545742</v>
          </cell>
        </row>
        <row r="196">
          <cell r="I196">
            <v>1362424774</v>
          </cell>
        </row>
        <row r="227">
          <cell r="G227">
            <v>24979690000</v>
          </cell>
        </row>
        <row r="229">
          <cell r="I229">
            <v>9990534500</v>
          </cell>
        </row>
        <row r="231">
          <cell r="I231">
            <v>15075507699</v>
          </cell>
        </row>
        <row r="235">
          <cell r="I235">
            <v>31934750000</v>
          </cell>
        </row>
        <row r="236">
          <cell r="I236">
            <v>93034540000</v>
          </cell>
        </row>
        <row r="242">
          <cell r="I242">
            <v>24979690000</v>
          </cell>
        </row>
        <row r="249">
          <cell r="I249">
            <v>12496929</v>
          </cell>
        </row>
        <row r="319">
          <cell r="I319">
            <v>1282451589</v>
          </cell>
          <cell r="K319">
            <v>5084062925</v>
          </cell>
        </row>
        <row r="320">
          <cell r="I320">
            <v>2999485607</v>
          </cell>
          <cell r="K320">
            <v>11514837101</v>
          </cell>
        </row>
        <row r="321">
          <cell r="I321">
            <v>11861061411</v>
          </cell>
          <cell r="K321">
            <v>45935932584</v>
          </cell>
        </row>
        <row r="322">
          <cell r="I322">
            <v>2493447914</v>
          </cell>
          <cell r="K322">
            <v>7512867239</v>
          </cell>
        </row>
        <row r="323">
          <cell r="I323">
            <v>2225279618</v>
          </cell>
          <cell r="K323">
            <v>7997144575</v>
          </cell>
        </row>
        <row r="324">
          <cell r="I324">
            <v>1041215761</v>
          </cell>
          <cell r="K324">
            <v>3638291638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B2" sqref="B2"/>
    </sheetView>
  </sheetViews>
  <sheetFormatPr defaultColWidth="9.140625" defaultRowHeight="18.75" customHeight="1"/>
  <cols>
    <col min="1" max="1" width="44.28125" style="224" customWidth="1"/>
    <col min="2" max="2" width="8.421875" style="224" customWidth="1"/>
    <col min="3" max="3" width="9.57421875" style="224" customWidth="1"/>
    <col min="4" max="5" width="17.7109375" style="224" customWidth="1"/>
    <col min="6" max="6" width="19.00390625" style="224" customWidth="1"/>
    <col min="7" max="16384" width="9.140625" style="224" customWidth="1"/>
  </cols>
  <sheetData>
    <row r="1" spans="1:8" s="218" customFormat="1" ht="18.75" customHeight="1">
      <c r="A1" s="22" t="s">
        <v>321</v>
      </c>
      <c r="B1" s="23"/>
      <c r="C1" s="24"/>
      <c r="D1" s="253" t="s">
        <v>515</v>
      </c>
      <c r="E1" s="253"/>
      <c r="F1" s="253"/>
      <c r="G1" s="24"/>
      <c r="H1" s="24"/>
    </row>
    <row r="2" spans="1:8" s="218" customFormat="1" ht="18.75" customHeight="1">
      <c r="A2" s="25" t="s">
        <v>323</v>
      </c>
      <c r="B2" s="25"/>
      <c r="C2" s="24"/>
      <c r="D2" s="360" t="s">
        <v>566</v>
      </c>
      <c r="E2" s="360"/>
      <c r="F2" s="360"/>
      <c r="G2" s="24"/>
      <c r="H2" s="24"/>
    </row>
    <row r="3" spans="1:11" s="218" customFormat="1" ht="18.75" customHeight="1">
      <c r="A3" s="26" t="s">
        <v>324</v>
      </c>
      <c r="B3" s="24"/>
      <c r="C3" s="24"/>
      <c r="D3" s="24"/>
      <c r="E3" s="24"/>
      <c r="F3" s="24"/>
      <c r="G3" s="24"/>
      <c r="H3" s="27"/>
      <c r="I3" s="361"/>
      <c r="J3" s="361"/>
      <c r="K3" s="361"/>
    </row>
    <row r="4" spans="1:5" s="218" customFormat="1" ht="18.75" customHeight="1">
      <c r="A4" s="366" t="s">
        <v>266</v>
      </c>
      <c r="B4" s="366"/>
      <c r="C4" s="366"/>
      <c r="D4" s="366"/>
      <c r="E4" s="366"/>
    </row>
    <row r="5" spans="1:5" s="218" customFormat="1" ht="18.75" customHeight="1">
      <c r="A5" s="365" t="s">
        <v>509</v>
      </c>
      <c r="B5" s="365"/>
      <c r="C5" s="365"/>
      <c r="D5" s="365"/>
      <c r="E5" s="365"/>
    </row>
    <row r="6" s="218" customFormat="1" ht="10.5" customHeight="1">
      <c r="E6" s="219" t="s">
        <v>265</v>
      </c>
    </row>
    <row r="7" spans="1:5" s="221" customFormat="1" ht="24" customHeight="1">
      <c r="A7" s="220" t="s">
        <v>28</v>
      </c>
      <c r="B7" s="220" t="s">
        <v>29</v>
      </c>
      <c r="C7" s="220" t="s">
        <v>30</v>
      </c>
      <c r="D7" s="220" t="s">
        <v>32</v>
      </c>
      <c r="E7" s="220" t="s">
        <v>31</v>
      </c>
    </row>
    <row r="8" spans="1:5" ht="18.75" customHeight="1">
      <c r="A8" s="222" t="s">
        <v>33</v>
      </c>
      <c r="B8" s="222"/>
      <c r="C8" s="222"/>
      <c r="D8" s="223"/>
      <c r="E8" s="223"/>
    </row>
    <row r="9" spans="1:5" ht="18.75" customHeight="1">
      <c r="A9" s="225" t="s">
        <v>34</v>
      </c>
      <c r="B9" s="225" t="s">
        <v>35</v>
      </c>
      <c r="C9" s="225"/>
      <c r="D9" s="226">
        <f>D10+D13+D16+D23+D26</f>
        <v>137133740945</v>
      </c>
      <c r="E9" s="226">
        <v>142747996707</v>
      </c>
    </row>
    <row r="10" spans="1:5" ht="18.75" customHeight="1">
      <c r="A10" s="225" t="s">
        <v>36</v>
      </c>
      <c r="B10" s="225" t="s">
        <v>37</v>
      </c>
      <c r="C10" s="225"/>
      <c r="D10" s="226">
        <f>SUM(D11:D12)</f>
        <v>3642785326</v>
      </c>
      <c r="E10" s="226">
        <v>10399122201</v>
      </c>
    </row>
    <row r="11" spans="1:5" ht="18.75" customHeight="1">
      <c r="A11" s="227" t="s">
        <v>38</v>
      </c>
      <c r="B11" s="227" t="s">
        <v>39</v>
      </c>
      <c r="C11" s="228" t="s">
        <v>234</v>
      </c>
      <c r="D11" s="230">
        <f>'[4]CDKT'!$E$12</f>
        <v>3642785326</v>
      </c>
      <c r="E11" s="230">
        <v>10399122201</v>
      </c>
    </row>
    <row r="12" spans="1:5" ht="18.75" customHeight="1">
      <c r="A12" s="227" t="s">
        <v>40</v>
      </c>
      <c r="B12" s="227" t="s">
        <v>41</v>
      </c>
      <c r="C12" s="231"/>
      <c r="D12" s="229">
        <v>0</v>
      </c>
      <c r="E12" s="229">
        <v>0</v>
      </c>
    </row>
    <row r="13" spans="1:5" ht="18.75" customHeight="1">
      <c r="A13" s="225" t="s">
        <v>42</v>
      </c>
      <c r="B13" s="225" t="s">
        <v>43</v>
      </c>
      <c r="C13" s="231" t="s">
        <v>235</v>
      </c>
      <c r="D13" s="226">
        <f>SUM(D14:D15)</f>
        <v>5114300023</v>
      </c>
      <c r="E13" s="226">
        <v>4078120000</v>
      </c>
    </row>
    <row r="14" spans="1:5" ht="18.75" customHeight="1">
      <c r="A14" s="227" t="s">
        <v>44</v>
      </c>
      <c r="B14" s="227" t="s">
        <v>45</v>
      </c>
      <c r="C14" s="227"/>
      <c r="D14" s="230">
        <f>'[4]CDKT'!$E$15</f>
        <v>11297118800</v>
      </c>
      <c r="E14" s="230">
        <v>12022845989</v>
      </c>
    </row>
    <row r="15" spans="1:5" ht="18.75" customHeight="1">
      <c r="A15" s="227" t="s">
        <v>46</v>
      </c>
      <c r="B15" s="227" t="s">
        <v>47</v>
      </c>
      <c r="C15" s="227"/>
      <c r="D15" s="230">
        <f>'[4]CDKT'!$E$16</f>
        <v>-6182818777</v>
      </c>
      <c r="E15" s="230">
        <v>-7944725989</v>
      </c>
    </row>
    <row r="16" spans="1:5" ht="18.75" customHeight="1">
      <c r="A16" s="225" t="s">
        <v>48</v>
      </c>
      <c r="B16" s="225" t="s">
        <v>49</v>
      </c>
      <c r="C16" s="225"/>
      <c r="D16" s="226">
        <f>SUM(D17:D22)</f>
        <v>48002178810</v>
      </c>
      <c r="E16" s="226">
        <v>32401403435</v>
      </c>
    </row>
    <row r="17" spans="1:5" ht="18.75" customHeight="1">
      <c r="A17" s="227" t="s">
        <v>50</v>
      </c>
      <c r="B17" s="227" t="s">
        <v>51</v>
      </c>
      <c r="C17" s="228" t="s">
        <v>236</v>
      </c>
      <c r="D17" s="230">
        <f>'[4]CDKT'!$E$18</f>
        <v>44859711465</v>
      </c>
      <c r="E17" s="230">
        <v>28536860503</v>
      </c>
    </row>
    <row r="18" spans="1:5" ht="18.75" customHeight="1">
      <c r="A18" s="227" t="s">
        <v>52</v>
      </c>
      <c r="B18" s="227" t="s">
        <v>53</v>
      </c>
      <c r="C18" s="228" t="s">
        <v>237</v>
      </c>
      <c r="D18" s="230">
        <f>'[4]CDKT'!$E$19</f>
        <v>2364172917</v>
      </c>
      <c r="E18" s="230">
        <v>2851773386</v>
      </c>
    </row>
    <row r="19" spans="1:5" ht="18.75" customHeight="1">
      <c r="A19" s="227" t="s">
        <v>54</v>
      </c>
      <c r="B19" s="227" t="s">
        <v>55</v>
      </c>
      <c r="C19" s="227"/>
      <c r="D19" s="232">
        <v>0</v>
      </c>
      <c r="E19" s="232">
        <v>0</v>
      </c>
    </row>
    <row r="20" spans="1:5" ht="18.75" customHeight="1">
      <c r="A20" s="227" t="s">
        <v>56</v>
      </c>
      <c r="B20" s="227" t="s">
        <v>57</v>
      </c>
      <c r="C20" s="227"/>
      <c r="D20" s="232">
        <v>0</v>
      </c>
      <c r="E20" s="232">
        <v>0</v>
      </c>
    </row>
    <row r="21" spans="1:6" ht="18.75" customHeight="1">
      <c r="A21" s="227" t="s">
        <v>58</v>
      </c>
      <c r="B21" s="227" t="s">
        <v>59</v>
      </c>
      <c r="C21" s="228" t="s">
        <v>238</v>
      </c>
      <c r="D21" s="230">
        <f>'[4]CDKT'!$E$22</f>
        <v>838651838</v>
      </c>
      <c r="E21" s="230">
        <v>1073126956</v>
      </c>
      <c r="F21" s="233"/>
    </row>
    <row r="22" spans="1:6" ht="18.75" customHeight="1">
      <c r="A22" s="227" t="s">
        <v>60</v>
      </c>
      <c r="B22" s="227" t="s">
        <v>61</v>
      </c>
      <c r="C22" s="228" t="s">
        <v>239</v>
      </c>
      <c r="D22" s="230">
        <f>'[4]CDKT'!$E$23</f>
        <v>-60357410</v>
      </c>
      <c r="E22" s="230">
        <v>-60357410</v>
      </c>
      <c r="F22" s="233"/>
    </row>
    <row r="23" spans="1:6" ht="18.75" customHeight="1">
      <c r="A23" s="225" t="s">
        <v>62</v>
      </c>
      <c r="B23" s="225" t="s">
        <v>63</v>
      </c>
      <c r="C23" s="225"/>
      <c r="D23" s="226">
        <f>D24</f>
        <v>54365590500</v>
      </c>
      <c r="E23" s="226">
        <v>67617879682</v>
      </c>
      <c r="F23" s="233"/>
    </row>
    <row r="24" spans="1:5" ht="18.75" customHeight="1">
      <c r="A24" s="227" t="s">
        <v>64</v>
      </c>
      <c r="B24" s="227" t="s">
        <v>65</v>
      </c>
      <c r="C24" s="228" t="s">
        <v>240</v>
      </c>
      <c r="D24" s="230">
        <f>'[4]CDKT'!$E$25</f>
        <v>54365590500</v>
      </c>
      <c r="E24" s="230">
        <v>67617879682</v>
      </c>
    </row>
    <row r="25" spans="1:5" ht="18.75" customHeight="1">
      <c r="A25" s="227" t="s">
        <v>66</v>
      </c>
      <c r="B25" s="227" t="s">
        <v>67</v>
      </c>
      <c r="C25" s="227"/>
      <c r="D25" s="232">
        <v>0</v>
      </c>
      <c r="E25" s="232">
        <v>0</v>
      </c>
    </row>
    <row r="26" spans="1:5" ht="18.75" customHeight="1">
      <c r="A26" s="225" t="s">
        <v>68</v>
      </c>
      <c r="B26" s="225" t="s">
        <v>69</v>
      </c>
      <c r="C26" s="225"/>
      <c r="D26" s="226">
        <f>SUM(D27:D30)</f>
        <v>26008886286</v>
      </c>
      <c r="E26" s="226">
        <v>28251471389</v>
      </c>
    </row>
    <row r="27" spans="1:5" ht="18.75" customHeight="1">
      <c r="A27" s="227" t="s">
        <v>70</v>
      </c>
      <c r="B27" s="227" t="s">
        <v>71</v>
      </c>
      <c r="C27" s="228" t="s">
        <v>241</v>
      </c>
      <c r="D27" s="230">
        <f>'[4]CDKT'!$E$28</f>
        <v>320854839</v>
      </c>
      <c r="E27" s="230">
        <v>93853710</v>
      </c>
    </row>
    <row r="28" spans="1:5" ht="18.75" customHeight="1">
      <c r="A28" s="227" t="s">
        <v>72</v>
      </c>
      <c r="B28" s="227" t="s">
        <v>73</v>
      </c>
      <c r="C28" s="228" t="s">
        <v>242</v>
      </c>
      <c r="D28" s="230">
        <f>'[4]CDKT'!$E$29</f>
        <v>2120443693</v>
      </c>
      <c r="E28" s="230">
        <v>1707207896</v>
      </c>
    </row>
    <row r="29" spans="1:5" ht="18.75" customHeight="1">
      <c r="A29" s="227" t="s">
        <v>74</v>
      </c>
      <c r="B29" s="227" t="s">
        <v>75</v>
      </c>
      <c r="C29" s="228"/>
      <c r="D29" s="230">
        <f>'[4]CDKT'!$E$30</f>
        <v>121634402</v>
      </c>
      <c r="E29" s="230">
        <v>1742992672</v>
      </c>
    </row>
    <row r="30" spans="1:5" ht="18.75" customHeight="1">
      <c r="A30" s="227" t="s">
        <v>76</v>
      </c>
      <c r="B30" s="227" t="s">
        <v>77</v>
      </c>
      <c r="C30" s="228" t="s">
        <v>243</v>
      </c>
      <c r="D30" s="230">
        <f>'[4]CDKT'!$E$31</f>
        <v>23445953352</v>
      </c>
      <c r="E30" s="230">
        <v>24707417111</v>
      </c>
    </row>
    <row r="31" spans="1:5" ht="18.75" customHeight="1">
      <c r="A31" s="225" t="s">
        <v>78</v>
      </c>
      <c r="B31" s="225" t="s">
        <v>79</v>
      </c>
      <c r="C31" s="225"/>
      <c r="D31" s="226">
        <f>D32+D38+D49+D52+D57</f>
        <v>77833939202</v>
      </c>
      <c r="E31" s="226">
        <v>81261924850</v>
      </c>
    </row>
    <row r="32" spans="1:5" ht="18.75" customHeight="1">
      <c r="A32" s="225" t="s">
        <v>80</v>
      </c>
      <c r="B32" s="225" t="s">
        <v>81</v>
      </c>
      <c r="C32" s="225"/>
      <c r="D32" s="225">
        <v>0</v>
      </c>
      <c r="E32" s="225">
        <v>0</v>
      </c>
    </row>
    <row r="33" spans="1:5" ht="18.75" customHeight="1">
      <c r="A33" s="227" t="s">
        <v>82</v>
      </c>
      <c r="B33" s="227" t="s">
        <v>83</v>
      </c>
      <c r="C33" s="227"/>
      <c r="D33" s="232">
        <v>0</v>
      </c>
      <c r="E33" s="227">
        <v>0</v>
      </c>
    </row>
    <row r="34" spans="1:5" ht="18.75" customHeight="1">
      <c r="A34" s="227" t="s">
        <v>84</v>
      </c>
      <c r="B34" s="227" t="s">
        <v>85</v>
      </c>
      <c r="C34" s="227"/>
      <c r="D34" s="227">
        <v>0</v>
      </c>
      <c r="E34" s="227">
        <v>0</v>
      </c>
    </row>
    <row r="35" spans="1:5" ht="18.75" customHeight="1">
      <c r="A35" s="227" t="s">
        <v>86</v>
      </c>
      <c r="B35" s="227" t="s">
        <v>87</v>
      </c>
      <c r="C35" s="227"/>
      <c r="D35" s="227">
        <v>0</v>
      </c>
      <c r="E35" s="227">
        <v>0</v>
      </c>
    </row>
    <row r="36" spans="1:5" ht="18.75" customHeight="1">
      <c r="A36" s="227" t="s">
        <v>88</v>
      </c>
      <c r="B36" s="227" t="s">
        <v>89</v>
      </c>
      <c r="C36" s="227"/>
      <c r="D36" s="227">
        <v>0</v>
      </c>
      <c r="E36" s="227">
        <v>0</v>
      </c>
    </row>
    <row r="37" spans="1:5" ht="18.75" customHeight="1">
      <c r="A37" s="227" t="s">
        <v>90</v>
      </c>
      <c r="B37" s="227" t="s">
        <v>91</v>
      </c>
      <c r="C37" s="227"/>
      <c r="D37" s="227">
        <v>0</v>
      </c>
      <c r="E37" s="227">
        <v>0</v>
      </c>
    </row>
    <row r="38" spans="1:5" ht="18.75" customHeight="1">
      <c r="A38" s="225" t="s">
        <v>92</v>
      </c>
      <c r="B38" s="225" t="s">
        <v>93</v>
      </c>
      <c r="C38" s="225"/>
      <c r="D38" s="226">
        <f>D39+D45+D42+D48</f>
        <v>63087428896</v>
      </c>
      <c r="E38" s="226">
        <v>65973509481</v>
      </c>
    </row>
    <row r="39" spans="1:5" ht="18.75" customHeight="1">
      <c r="A39" s="225" t="s">
        <v>94</v>
      </c>
      <c r="B39" s="225" t="s">
        <v>95</v>
      </c>
      <c r="C39" s="228" t="s">
        <v>244</v>
      </c>
      <c r="D39" s="234">
        <f>D40+D41</f>
        <v>18897926657</v>
      </c>
      <c r="E39" s="234">
        <v>23504120422</v>
      </c>
    </row>
    <row r="40" spans="1:6" ht="18.75" customHeight="1">
      <c r="A40" s="227" t="s">
        <v>96</v>
      </c>
      <c r="B40" s="227" t="s">
        <v>97</v>
      </c>
      <c r="C40" s="235"/>
      <c r="D40" s="236">
        <f>'[4]CDKT'!$E$42</f>
        <v>74200480218</v>
      </c>
      <c r="E40" s="236">
        <v>75416392628</v>
      </c>
      <c r="F40" s="237"/>
    </row>
    <row r="41" spans="1:5" ht="18.75" customHeight="1">
      <c r="A41" s="307" t="s">
        <v>98</v>
      </c>
      <c r="B41" s="307" t="s">
        <v>99</v>
      </c>
      <c r="C41" s="308"/>
      <c r="D41" s="305">
        <f>'[4]CDKT'!$E$43</f>
        <v>-55302553561</v>
      </c>
      <c r="E41" s="305">
        <v>-51912272206</v>
      </c>
    </row>
    <row r="42" spans="1:5" ht="18.75" customHeight="1">
      <c r="A42" s="222" t="s">
        <v>100</v>
      </c>
      <c r="B42" s="222" t="s">
        <v>101</v>
      </c>
      <c r="C42" s="222"/>
      <c r="D42" s="222">
        <v>0</v>
      </c>
      <c r="E42" s="222">
        <v>0</v>
      </c>
    </row>
    <row r="43" spans="1:5" ht="18.75" customHeight="1">
      <c r="A43" s="227" t="s">
        <v>96</v>
      </c>
      <c r="B43" s="227" t="s">
        <v>102</v>
      </c>
      <c r="C43" s="227"/>
      <c r="D43" s="227">
        <v>0</v>
      </c>
      <c r="E43" s="227">
        <v>0</v>
      </c>
    </row>
    <row r="44" spans="1:5" ht="18.75" customHeight="1">
      <c r="A44" s="227" t="s">
        <v>98</v>
      </c>
      <c r="B44" s="227" t="s">
        <v>103</v>
      </c>
      <c r="C44" s="227"/>
      <c r="D44" s="227">
        <v>0</v>
      </c>
      <c r="E44" s="227">
        <v>0</v>
      </c>
    </row>
    <row r="45" spans="1:5" ht="18.75" customHeight="1">
      <c r="A45" s="225" t="s">
        <v>104</v>
      </c>
      <c r="B45" s="225" t="s">
        <v>105</v>
      </c>
      <c r="C45" s="228" t="s">
        <v>245</v>
      </c>
      <c r="D45" s="234">
        <f>SUM(D46:D47)</f>
        <v>198767603</v>
      </c>
      <c r="E45" s="234">
        <v>237498851</v>
      </c>
    </row>
    <row r="46" spans="1:5" ht="18.75" customHeight="1">
      <c r="A46" s="227" t="s">
        <v>96</v>
      </c>
      <c r="B46" s="227" t="s">
        <v>106</v>
      </c>
      <c r="C46" s="235"/>
      <c r="D46" s="238">
        <f>'[4]CDKT'!$E$48</f>
        <v>367425000</v>
      </c>
      <c r="E46" s="238">
        <v>367425000</v>
      </c>
    </row>
    <row r="47" spans="1:5" ht="18.75" customHeight="1">
      <c r="A47" s="227" t="s">
        <v>98</v>
      </c>
      <c r="B47" s="227" t="s">
        <v>107</v>
      </c>
      <c r="C47" s="235"/>
      <c r="D47" s="236">
        <f>'[4]CDKT'!$E$49</f>
        <v>-168657397</v>
      </c>
      <c r="E47" s="236">
        <v>-129926149</v>
      </c>
    </row>
    <row r="48" spans="1:5" ht="18.75" customHeight="1">
      <c r="A48" s="225" t="s">
        <v>108</v>
      </c>
      <c r="B48" s="225" t="s">
        <v>109</v>
      </c>
      <c r="C48" s="231" t="s">
        <v>246</v>
      </c>
      <c r="D48" s="234">
        <f>'[4]CDKT'!$E$51</f>
        <v>43990734636</v>
      </c>
      <c r="E48" s="234">
        <v>42231890208</v>
      </c>
    </row>
    <row r="49" spans="1:5" ht="18.75" customHeight="1">
      <c r="A49" s="225" t="s">
        <v>110</v>
      </c>
      <c r="B49" s="225" t="s">
        <v>111</v>
      </c>
      <c r="C49" s="225"/>
      <c r="D49" s="234">
        <f>SUM(D50:D51)</f>
        <v>13880228923</v>
      </c>
      <c r="E49" s="234">
        <v>14098572055</v>
      </c>
    </row>
    <row r="50" spans="1:5" ht="18.75" customHeight="1">
      <c r="A50" s="227" t="s">
        <v>96</v>
      </c>
      <c r="B50" s="227" t="s">
        <v>112</v>
      </c>
      <c r="C50" s="227"/>
      <c r="D50" s="230">
        <v>14556209182</v>
      </c>
      <c r="E50" s="230">
        <v>14556209182</v>
      </c>
    </row>
    <row r="51" spans="1:5" ht="18.75" customHeight="1">
      <c r="A51" s="227" t="s">
        <v>98</v>
      </c>
      <c r="B51" s="227" t="s">
        <v>113</v>
      </c>
      <c r="C51" s="227"/>
      <c r="D51" s="230">
        <f>'[4]CDKT'!$E$54</f>
        <v>-675980259</v>
      </c>
      <c r="E51" s="230">
        <v>-457637127</v>
      </c>
    </row>
    <row r="52" spans="1:5" ht="18.75" customHeight="1">
      <c r="A52" s="225" t="s">
        <v>114</v>
      </c>
      <c r="B52" s="225" t="s">
        <v>115</v>
      </c>
      <c r="C52" s="225"/>
      <c r="D52" s="226">
        <v>550000000</v>
      </c>
      <c r="E52" s="226">
        <v>550000000</v>
      </c>
    </row>
    <row r="53" spans="1:5" ht="18.75" customHeight="1">
      <c r="A53" s="227" t="s">
        <v>116</v>
      </c>
      <c r="B53" s="227" t="s">
        <v>117</v>
      </c>
      <c r="C53" s="227"/>
      <c r="D53" s="232">
        <v>0</v>
      </c>
      <c r="E53" s="232">
        <v>0</v>
      </c>
    </row>
    <row r="54" spans="1:5" ht="18.75" customHeight="1">
      <c r="A54" s="227" t="s">
        <v>118</v>
      </c>
      <c r="B54" s="227" t="s">
        <v>119</v>
      </c>
      <c r="C54" s="227"/>
      <c r="D54" s="232">
        <v>0</v>
      </c>
      <c r="E54" s="232">
        <v>0</v>
      </c>
    </row>
    <row r="55" spans="1:5" ht="18.75" customHeight="1">
      <c r="A55" s="227" t="s">
        <v>120</v>
      </c>
      <c r="B55" s="227" t="s">
        <v>121</v>
      </c>
      <c r="C55" s="227"/>
      <c r="D55" s="230">
        <v>550000000</v>
      </c>
      <c r="E55" s="230">
        <v>550000000</v>
      </c>
    </row>
    <row r="56" spans="1:5" ht="18.75" customHeight="1">
      <c r="A56" s="227" t="s">
        <v>122</v>
      </c>
      <c r="B56" s="227" t="s">
        <v>123</v>
      </c>
      <c r="C56" s="227"/>
      <c r="D56" s="227">
        <v>0</v>
      </c>
      <c r="E56" s="227">
        <v>0</v>
      </c>
    </row>
    <row r="57" spans="1:5" ht="18.75" customHeight="1">
      <c r="A57" s="225" t="s">
        <v>124</v>
      </c>
      <c r="B57" s="225" t="s">
        <v>125</v>
      </c>
      <c r="C57" s="225"/>
      <c r="D57" s="226">
        <f>SUM(D58:D61)</f>
        <v>316281383</v>
      </c>
      <c r="E57" s="226">
        <v>639843314</v>
      </c>
    </row>
    <row r="58" spans="1:5" ht="18.75" customHeight="1">
      <c r="A58" s="227" t="s">
        <v>126</v>
      </c>
      <c r="B58" s="227" t="s">
        <v>127</v>
      </c>
      <c r="C58" s="227"/>
      <c r="D58" s="230">
        <f>'[4]CDKT'!$E$61</f>
        <v>316281383</v>
      </c>
      <c r="E58" s="230">
        <v>639843314</v>
      </c>
    </row>
    <row r="59" spans="1:5" ht="18.75" customHeight="1">
      <c r="A59" s="227" t="s">
        <v>128</v>
      </c>
      <c r="B59" s="227" t="s">
        <v>129</v>
      </c>
      <c r="C59" s="227"/>
      <c r="D59" s="232">
        <v>0</v>
      </c>
      <c r="E59" s="232">
        <v>0</v>
      </c>
    </row>
    <row r="60" spans="1:5" ht="18.75" customHeight="1">
      <c r="A60" s="227" t="s">
        <v>130</v>
      </c>
      <c r="B60" s="227" t="s">
        <v>131</v>
      </c>
      <c r="C60" s="227"/>
      <c r="D60" s="232">
        <v>0</v>
      </c>
      <c r="E60" s="232">
        <v>0</v>
      </c>
    </row>
    <row r="61" spans="1:5" s="240" customFormat="1" ht="18.75" customHeight="1">
      <c r="A61" s="239" t="s">
        <v>132</v>
      </c>
      <c r="B61" s="239" t="s">
        <v>133</v>
      </c>
      <c r="C61" s="239"/>
      <c r="D61" s="239">
        <v>0</v>
      </c>
      <c r="E61" s="239">
        <v>0</v>
      </c>
    </row>
    <row r="62" spans="1:6" ht="18.75" customHeight="1">
      <c r="A62" s="225" t="s">
        <v>134</v>
      </c>
      <c r="B62" s="225" t="s">
        <v>135</v>
      </c>
      <c r="C62" s="225"/>
      <c r="D62" s="226">
        <f>D9+D31</f>
        <v>214967680147</v>
      </c>
      <c r="E62" s="226">
        <v>224009921557</v>
      </c>
      <c r="F62" s="237">
        <f>D62-D105</f>
        <v>0</v>
      </c>
    </row>
    <row r="63" spans="1:5" ht="18.75" customHeight="1">
      <c r="A63" s="225" t="s">
        <v>136</v>
      </c>
      <c r="B63" s="225"/>
      <c r="C63" s="225"/>
      <c r="D63" s="225"/>
      <c r="E63" s="225"/>
    </row>
    <row r="64" spans="1:5" ht="18.75" customHeight="1">
      <c r="A64" s="225" t="s">
        <v>137</v>
      </c>
      <c r="B64" s="225" t="s">
        <v>138</v>
      </c>
      <c r="C64" s="225"/>
      <c r="D64" s="226">
        <f>D65+D77</f>
        <v>75064091911</v>
      </c>
      <c r="E64" s="226">
        <v>88832607136</v>
      </c>
    </row>
    <row r="65" spans="1:5" ht="18.75" customHeight="1">
      <c r="A65" s="225" t="s">
        <v>139</v>
      </c>
      <c r="B65" s="225" t="s">
        <v>140</v>
      </c>
      <c r="C65" s="225"/>
      <c r="D65" s="226">
        <f>SUM(D66:D76)</f>
        <v>71801169715</v>
      </c>
      <c r="E65" s="226">
        <v>85467962090</v>
      </c>
    </row>
    <row r="66" spans="1:5" ht="18.75" customHeight="1">
      <c r="A66" s="227" t="s">
        <v>141</v>
      </c>
      <c r="B66" s="227" t="s">
        <v>142</v>
      </c>
      <c r="C66" s="228" t="s">
        <v>247</v>
      </c>
      <c r="D66" s="230">
        <f>'[4]CDKT'!$E$74</f>
        <v>34680209457</v>
      </c>
      <c r="E66" s="230">
        <v>38907805074</v>
      </c>
    </row>
    <row r="67" spans="1:5" ht="18.75" customHeight="1">
      <c r="A67" s="227" t="s">
        <v>143</v>
      </c>
      <c r="B67" s="227" t="s">
        <v>144</v>
      </c>
      <c r="C67" s="228" t="s">
        <v>248</v>
      </c>
      <c r="D67" s="230">
        <f>'[4]CDKT'!$E$75</f>
        <v>10842762662</v>
      </c>
      <c r="E67" s="230">
        <v>19036094458</v>
      </c>
    </row>
    <row r="68" spans="1:5" ht="18.75" customHeight="1">
      <c r="A68" s="227" t="s">
        <v>145</v>
      </c>
      <c r="B68" s="227" t="s">
        <v>146</v>
      </c>
      <c r="C68" s="228" t="s">
        <v>249</v>
      </c>
      <c r="D68" s="230">
        <f>'[4]CDKT'!$E$76</f>
        <v>6157289000</v>
      </c>
      <c r="E68" s="230">
        <v>1081769273</v>
      </c>
    </row>
    <row r="69" spans="1:5" ht="18.75" customHeight="1">
      <c r="A69" s="227" t="s">
        <v>147</v>
      </c>
      <c r="B69" s="227" t="s">
        <v>148</v>
      </c>
      <c r="C69" s="228" t="s">
        <v>250</v>
      </c>
      <c r="D69" s="230">
        <f>'[4]CDKT'!$E$77</f>
        <v>5607310218</v>
      </c>
      <c r="E69" s="230">
        <v>3013551894</v>
      </c>
    </row>
    <row r="70" spans="1:6" ht="18.75" customHeight="1">
      <c r="A70" s="227" t="s">
        <v>149</v>
      </c>
      <c r="B70" s="227" t="s">
        <v>150</v>
      </c>
      <c r="C70" s="228" t="s">
        <v>251</v>
      </c>
      <c r="D70" s="230">
        <f>'[4]CDKT'!$E$78</f>
        <v>2233346718</v>
      </c>
      <c r="E70" s="230">
        <v>7439038638</v>
      </c>
      <c r="F70" s="237"/>
    </row>
    <row r="71" spans="1:5" ht="18.75" customHeight="1">
      <c r="A71" s="227" t="s">
        <v>151</v>
      </c>
      <c r="B71" s="227" t="s">
        <v>152</v>
      </c>
      <c r="C71" s="228" t="s">
        <v>252</v>
      </c>
      <c r="D71" s="230">
        <f>'[4]CDKT'!$E$79</f>
        <v>7755906995</v>
      </c>
      <c r="E71" s="230">
        <v>10857165635</v>
      </c>
    </row>
    <row r="72" spans="1:5" ht="18.75" customHeight="1">
      <c r="A72" s="227" t="s">
        <v>153</v>
      </c>
      <c r="B72" s="227" t="s">
        <v>154</v>
      </c>
      <c r="C72" s="228"/>
      <c r="D72" s="230"/>
      <c r="E72" s="230"/>
    </row>
    <row r="73" spans="1:5" ht="18.75" customHeight="1">
      <c r="A73" s="227" t="s">
        <v>155</v>
      </c>
      <c r="B73" s="227" t="s">
        <v>156</v>
      </c>
      <c r="C73" s="228"/>
      <c r="D73" s="230">
        <v>0</v>
      </c>
      <c r="E73" s="230">
        <v>0</v>
      </c>
    </row>
    <row r="74" spans="1:5" ht="18.75" customHeight="1">
      <c r="A74" s="227" t="s">
        <v>157</v>
      </c>
      <c r="B74" s="227" t="s">
        <v>158</v>
      </c>
      <c r="C74" s="228" t="s">
        <v>253</v>
      </c>
      <c r="D74" s="230">
        <f>'[4]CDKT'!$E$82</f>
        <v>3479059645</v>
      </c>
      <c r="E74" s="230">
        <v>2815240003</v>
      </c>
    </row>
    <row r="75" spans="1:5" ht="18.75" customHeight="1">
      <c r="A75" s="227" t="s">
        <v>159</v>
      </c>
      <c r="B75" s="227" t="s">
        <v>160</v>
      </c>
      <c r="C75" s="228"/>
      <c r="D75" s="230">
        <f>'[4]CDKT'!$E$83</f>
        <v>900804954</v>
      </c>
      <c r="E75" s="230">
        <v>900804954</v>
      </c>
    </row>
    <row r="76" spans="1:5" ht="18.75" customHeight="1">
      <c r="A76" s="227" t="s">
        <v>161</v>
      </c>
      <c r="B76" s="227" t="s">
        <v>162</v>
      </c>
      <c r="C76" s="228"/>
      <c r="D76" s="230">
        <f>'[4]CDKT'!$E$84</f>
        <v>144480066</v>
      </c>
      <c r="E76" s="230">
        <v>1416492161</v>
      </c>
    </row>
    <row r="77" spans="1:5" ht="18.75" customHeight="1">
      <c r="A77" s="225" t="s">
        <v>163</v>
      </c>
      <c r="B77" s="225" t="s">
        <v>164</v>
      </c>
      <c r="C77" s="225"/>
      <c r="D77" s="234">
        <f>SUM(D78:D86)</f>
        <v>3262922196</v>
      </c>
      <c r="E77" s="234">
        <v>3364645046</v>
      </c>
    </row>
    <row r="78" spans="1:5" ht="18.75" customHeight="1">
      <c r="A78" s="227" t="s">
        <v>165</v>
      </c>
      <c r="B78" s="227" t="s">
        <v>166</v>
      </c>
      <c r="C78" s="228" t="s">
        <v>254</v>
      </c>
      <c r="D78" s="227">
        <v>0</v>
      </c>
      <c r="E78" s="227">
        <v>0</v>
      </c>
    </row>
    <row r="79" spans="1:5" ht="18.75" customHeight="1">
      <c r="A79" s="307" t="s">
        <v>167</v>
      </c>
      <c r="B79" s="307" t="s">
        <v>168</v>
      </c>
      <c r="C79" s="306" t="s">
        <v>255</v>
      </c>
      <c r="D79" s="307">
        <v>0</v>
      </c>
      <c r="E79" s="307">
        <v>0</v>
      </c>
    </row>
    <row r="80" spans="1:5" ht="18.75" customHeight="1">
      <c r="A80" s="250" t="s">
        <v>169</v>
      </c>
      <c r="B80" s="250" t="s">
        <v>170</v>
      </c>
      <c r="C80" s="251" t="s">
        <v>256</v>
      </c>
      <c r="D80" s="252"/>
      <c r="E80" s="252"/>
    </row>
    <row r="81" spans="1:5" ht="18.75" customHeight="1">
      <c r="A81" s="227" t="s">
        <v>171</v>
      </c>
      <c r="B81" s="227" t="s">
        <v>172</v>
      </c>
      <c r="C81" s="228" t="s">
        <v>257</v>
      </c>
      <c r="D81" s="230">
        <f>'[4]CDKT'!$E$89</f>
        <v>2920553530</v>
      </c>
      <c r="E81" s="230">
        <v>3010553530</v>
      </c>
    </row>
    <row r="82" spans="1:5" ht="18.75" customHeight="1">
      <c r="A82" s="227" t="s">
        <v>173</v>
      </c>
      <c r="B82" s="227" t="s">
        <v>174</v>
      </c>
      <c r="C82" s="228"/>
      <c r="D82" s="230"/>
      <c r="E82" s="230"/>
    </row>
    <row r="83" spans="1:5" ht="18.75" customHeight="1">
      <c r="A83" s="227" t="s">
        <v>175</v>
      </c>
      <c r="B83" s="227" t="s">
        <v>176</v>
      </c>
      <c r="C83" s="228"/>
      <c r="D83" s="230">
        <f>'[4]CDKT'!$E$91</f>
        <v>342368666</v>
      </c>
      <c r="E83" s="230">
        <v>354091516</v>
      </c>
    </row>
    <row r="84" spans="1:5" ht="18.75" customHeight="1">
      <c r="A84" s="227" t="s">
        <v>177</v>
      </c>
      <c r="B84" s="227" t="s">
        <v>178</v>
      </c>
      <c r="C84" s="228"/>
      <c r="D84" s="230"/>
      <c r="E84" s="230"/>
    </row>
    <row r="85" spans="1:5" ht="18.75" customHeight="1">
      <c r="A85" s="227" t="s">
        <v>179</v>
      </c>
      <c r="B85" s="227" t="s">
        <v>180</v>
      </c>
      <c r="C85" s="227"/>
      <c r="D85" s="227">
        <v>0</v>
      </c>
      <c r="E85" s="227">
        <v>0</v>
      </c>
    </row>
    <row r="86" spans="1:5" ht="18.75" customHeight="1">
      <c r="A86" s="227" t="s">
        <v>181</v>
      </c>
      <c r="B86" s="227" t="s">
        <v>182</v>
      </c>
      <c r="C86" s="227"/>
      <c r="D86" s="227">
        <v>0</v>
      </c>
      <c r="E86" s="227">
        <v>0</v>
      </c>
    </row>
    <row r="87" spans="1:5" ht="18.75" customHeight="1">
      <c r="A87" s="225" t="s">
        <v>183</v>
      </c>
      <c r="B87" s="225" t="s">
        <v>184</v>
      </c>
      <c r="C87" s="225"/>
      <c r="D87" s="226">
        <f>D88+D101</f>
        <v>139903588236</v>
      </c>
      <c r="E87" s="226">
        <v>135177314421</v>
      </c>
    </row>
    <row r="88" spans="1:5" ht="18.75" customHeight="1">
      <c r="A88" s="225" t="s">
        <v>185</v>
      </c>
      <c r="B88" s="225" t="s">
        <v>186</v>
      </c>
      <c r="C88" s="231" t="s">
        <v>258</v>
      </c>
      <c r="D88" s="234">
        <f>SUM(D89:D100)</f>
        <v>139903588236</v>
      </c>
      <c r="E88" s="234">
        <v>135177314421</v>
      </c>
    </row>
    <row r="89" spans="1:5" ht="18.75" customHeight="1">
      <c r="A89" s="227" t="s">
        <v>187</v>
      </c>
      <c r="B89" s="227" t="s">
        <v>188</v>
      </c>
      <c r="C89" s="228"/>
      <c r="D89" s="230">
        <f>'[4]CDKT'!$E$96</f>
        <v>124969290000</v>
      </c>
      <c r="E89" s="230">
        <v>99989600000</v>
      </c>
    </row>
    <row r="90" spans="1:5" ht="18.75" customHeight="1">
      <c r="A90" s="227" t="s">
        <v>189</v>
      </c>
      <c r="B90" s="227" t="s">
        <v>190</v>
      </c>
      <c r="C90" s="228"/>
      <c r="D90" s="230">
        <v>982166000</v>
      </c>
      <c r="E90" s="230">
        <v>982166000</v>
      </c>
    </row>
    <row r="91" spans="1:5" ht="18.75" customHeight="1">
      <c r="A91" s="227" t="s">
        <v>191</v>
      </c>
      <c r="B91" s="227" t="s">
        <v>192</v>
      </c>
      <c r="C91" s="228"/>
      <c r="D91" s="230"/>
      <c r="E91" s="230"/>
    </row>
    <row r="92" spans="1:5" ht="18.75" customHeight="1">
      <c r="A92" s="227" t="s">
        <v>193</v>
      </c>
      <c r="B92" s="227" t="s">
        <v>194</v>
      </c>
      <c r="C92" s="228"/>
      <c r="D92" s="230"/>
      <c r="E92" s="230"/>
    </row>
    <row r="93" spans="1:5" ht="18.75" customHeight="1">
      <c r="A93" s="227" t="s">
        <v>195</v>
      </c>
      <c r="B93" s="227" t="s">
        <v>196</v>
      </c>
      <c r="C93" s="228"/>
      <c r="D93" s="230"/>
      <c r="E93" s="230"/>
    </row>
    <row r="94" spans="1:5" ht="18.75" customHeight="1">
      <c r="A94" s="227" t="s">
        <v>197</v>
      </c>
      <c r="B94" s="227" t="s">
        <v>198</v>
      </c>
      <c r="C94" s="228"/>
      <c r="D94" s="230"/>
      <c r="E94" s="230"/>
    </row>
    <row r="95" spans="1:5" ht="18.75" customHeight="1">
      <c r="A95" s="227" t="s">
        <v>199</v>
      </c>
      <c r="B95" s="227" t="s">
        <v>200</v>
      </c>
      <c r="C95" s="228"/>
      <c r="D95" s="230">
        <f>'[4]CDKT'!$E$101</f>
        <v>5169176926</v>
      </c>
      <c r="E95" s="230">
        <v>15159711426</v>
      </c>
    </row>
    <row r="96" spans="1:5" ht="18.75" customHeight="1">
      <c r="A96" s="227" t="s">
        <v>201</v>
      </c>
      <c r="B96" s="227" t="s">
        <v>202</v>
      </c>
      <c r="C96" s="228"/>
      <c r="D96" s="230">
        <f>'[4]CDKT'!$E$103</f>
        <v>3296250989</v>
      </c>
      <c r="E96" s="230">
        <v>3296250989</v>
      </c>
    </row>
    <row r="97" spans="1:5" ht="18.75" customHeight="1">
      <c r="A97" s="227" t="s">
        <v>203</v>
      </c>
      <c r="B97" s="227" t="s">
        <v>204</v>
      </c>
      <c r="C97" s="228"/>
      <c r="D97" s="230"/>
      <c r="E97" s="230"/>
    </row>
    <row r="98" spans="1:5" ht="18.75" customHeight="1">
      <c r="A98" s="227" t="s">
        <v>205</v>
      </c>
      <c r="B98" s="227" t="s">
        <v>206</v>
      </c>
      <c r="C98" s="228"/>
      <c r="D98" s="230">
        <f>'[4]CDKT'!$E$105</f>
        <v>5486704321</v>
      </c>
      <c r="E98" s="230">
        <v>15749586006</v>
      </c>
    </row>
    <row r="99" spans="1:5" ht="18.75" customHeight="1">
      <c r="A99" s="227" t="s">
        <v>207</v>
      </c>
      <c r="B99" s="227" t="s">
        <v>208</v>
      </c>
      <c r="C99" s="227"/>
      <c r="D99" s="227">
        <v>0</v>
      </c>
      <c r="E99" s="227">
        <v>0</v>
      </c>
    </row>
    <row r="100" spans="1:5" ht="18.75" customHeight="1">
      <c r="A100" s="227" t="s">
        <v>209</v>
      </c>
      <c r="B100" s="227" t="s">
        <v>210</v>
      </c>
      <c r="C100" s="227"/>
      <c r="D100" s="227">
        <v>0</v>
      </c>
      <c r="E100" s="227">
        <v>0</v>
      </c>
    </row>
    <row r="101" spans="1:5" ht="18.75" customHeight="1">
      <c r="A101" s="225" t="s">
        <v>211</v>
      </c>
      <c r="B101" s="225" t="s">
        <v>212</v>
      </c>
      <c r="C101" s="225"/>
      <c r="D101" s="225">
        <v>0</v>
      </c>
      <c r="E101" s="225">
        <v>0</v>
      </c>
    </row>
    <row r="102" spans="1:5" ht="18.75" customHeight="1">
      <c r="A102" s="227" t="s">
        <v>213</v>
      </c>
      <c r="B102" s="227" t="s">
        <v>214</v>
      </c>
      <c r="C102" s="227"/>
      <c r="D102" s="227">
        <v>0</v>
      </c>
      <c r="E102" s="227">
        <v>0</v>
      </c>
    </row>
    <row r="103" spans="1:5" ht="18.75" customHeight="1">
      <c r="A103" s="227" t="s">
        <v>215</v>
      </c>
      <c r="B103" s="227" t="s">
        <v>216</v>
      </c>
      <c r="C103" s="227"/>
      <c r="D103" s="227">
        <v>0</v>
      </c>
      <c r="E103" s="227">
        <v>0</v>
      </c>
    </row>
    <row r="104" spans="1:5" s="240" customFormat="1" ht="18.75" customHeight="1">
      <c r="A104" s="239" t="s">
        <v>217</v>
      </c>
      <c r="B104" s="239" t="s">
        <v>218</v>
      </c>
      <c r="C104" s="239"/>
      <c r="D104" s="239">
        <v>0</v>
      </c>
      <c r="E104" s="239">
        <v>0</v>
      </c>
    </row>
    <row r="105" spans="1:5" ht="18.75" customHeight="1">
      <c r="A105" s="225" t="s">
        <v>219</v>
      </c>
      <c r="B105" s="225" t="s">
        <v>220</v>
      </c>
      <c r="C105" s="225"/>
      <c r="D105" s="226">
        <f>D64+D87+D104</f>
        <v>214967680147</v>
      </c>
      <c r="E105" s="226">
        <v>224009921557</v>
      </c>
    </row>
    <row r="106" spans="1:5" ht="18.75" customHeight="1">
      <c r="A106" s="225" t="s">
        <v>221</v>
      </c>
      <c r="B106" s="225"/>
      <c r="C106" s="225"/>
      <c r="D106" s="225">
        <v>0</v>
      </c>
      <c r="E106" s="225">
        <v>0</v>
      </c>
    </row>
    <row r="107" spans="1:5" ht="18.75" customHeight="1">
      <c r="A107" s="227" t="s">
        <v>222</v>
      </c>
      <c r="B107" s="227" t="s">
        <v>223</v>
      </c>
      <c r="C107" s="227"/>
      <c r="D107" s="227">
        <v>0</v>
      </c>
      <c r="E107" s="227">
        <v>0</v>
      </c>
    </row>
    <row r="108" spans="1:5" ht="18.75" customHeight="1">
      <c r="A108" s="227" t="s">
        <v>224</v>
      </c>
      <c r="B108" s="227" t="s">
        <v>225</v>
      </c>
      <c r="C108" s="227"/>
      <c r="D108" s="227">
        <v>0</v>
      </c>
      <c r="E108" s="227">
        <v>0</v>
      </c>
    </row>
    <row r="109" spans="1:5" ht="18.75" customHeight="1">
      <c r="A109" s="227" t="s">
        <v>226</v>
      </c>
      <c r="B109" s="227" t="s">
        <v>227</v>
      </c>
      <c r="C109" s="227"/>
      <c r="D109" s="227">
        <v>0</v>
      </c>
      <c r="E109" s="227">
        <v>0</v>
      </c>
    </row>
    <row r="110" spans="1:5" ht="18.75" customHeight="1">
      <c r="A110" s="227" t="s">
        <v>228</v>
      </c>
      <c r="B110" s="227" t="s">
        <v>229</v>
      </c>
      <c r="C110" s="227"/>
      <c r="D110" s="227">
        <v>0</v>
      </c>
      <c r="E110" s="227">
        <v>0</v>
      </c>
    </row>
    <row r="111" spans="1:5" ht="18.75" customHeight="1">
      <c r="A111" s="227" t="s">
        <v>230</v>
      </c>
      <c r="B111" s="227" t="s">
        <v>231</v>
      </c>
      <c r="C111" s="227"/>
      <c r="D111" s="227">
        <v>0</v>
      </c>
      <c r="E111" s="227">
        <v>0</v>
      </c>
    </row>
    <row r="112" spans="1:5" ht="18.75" customHeight="1">
      <c r="A112" s="241" t="s">
        <v>232</v>
      </c>
      <c r="B112" s="241" t="s">
        <v>233</v>
      </c>
      <c r="C112" s="241"/>
      <c r="D112" s="241">
        <v>0</v>
      </c>
      <c r="E112" s="241">
        <v>0</v>
      </c>
    </row>
    <row r="113" spans="4:5" ht="18.75" customHeight="1">
      <c r="D113" s="364" t="s">
        <v>567</v>
      </c>
      <c r="E113" s="364"/>
    </row>
    <row r="114" spans="1:5" ht="18.75" customHeight="1">
      <c r="A114" s="242" t="s">
        <v>259</v>
      </c>
      <c r="B114" s="243" t="s">
        <v>261</v>
      </c>
      <c r="D114" s="362" t="s">
        <v>263</v>
      </c>
      <c r="E114" s="362"/>
    </row>
    <row r="115" spans="1:5" ht="18.75" customHeight="1">
      <c r="A115" s="244"/>
      <c r="B115" s="245"/>
      <c r="D115" s="246"/>
      <c r="E115" s="246"/>
    </row>
    <row r="116" spans="1:5" ht="18.75" customHeight="1">
      <c r="A116" s="244"/>
      <c r="B116" s="245"/>
      <c r="D116" s="246"/>
      <c r="E116" s="246"/>
    </row>
    <row r="117" spans="1:5" ht="18.75" customHeight="1">
      <c r="A117" s="244"/>
      <c r="B117" s="245"/>
      <c r="D117" s="246"/>
      <c r="E117" s="246"/>
    </row>
    <row r="118" spans="1:5" ht="18.75" customHeight="1">
      <c r="A118" s="244"/>
      <c r="B118" s="247"/>
      <c r="D118" s="246"/>
      <c r="E118" s="246"/>
    </row>
    <row r="119" spans="1:5" ht="18.75" customHeight="1">
      <c r="A119" s="248" t="s">
        <v>260</v>
      </c>
      <c r="B119" s="249" t="s">
        <v>262</v>
      </c>
      <c r="D119" s="363" t="s">
        <v>264</v>
      </c>
      <c r="E119" s="363"/>
    </row>
  </sheetData>
  <mergeCells count="7">
    <mergeCell ref="D2:F2"/>
    <mergeCell ref="I3:K3"/>
    <mergeCell ref="D114:E114"/>
    <mergeCell ref="D119:E119"/>
    <mergeCell ref="D113:E113"/>
    <mergeCell ref="A5:E5"/>
    <mergeCell ref="A4:E4"/>
  </mergeCells>
  <printOptions/>
  <pageMargins left="0.65" right="0.3" top="0.25" bottom="0.29" header="0.2" footer="0.2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2">
      <selection activeCell="E26" sqref="E26"/>
    </sheetView>
  </sheetViews>
  <sheetFormatPr defaultColWidth="9.140625" defaultRowHeight="12"/>
  <cols>
    <col min="1" max="1" width="50.7109375" style="1" customWidth="1"/>
    <col min="2" max="2" width="7.28125" style="1" customWidth="1"/>
    <col min="3" max="3" width="7.8515625" style="1" customWidth="1"/>
    <col min="4" max="4" width="16.57421875" style="1" customWidth="1"/>
    <col min="5" max="5" width="16.421875" style="1" customWidth="1"/>
    <col min="6" max="6" width="10.57421875" style="1" bestFit="1" customWidth="1"/>
    <col min="7" max="16384" width="9.140625" style="1" customWidth="1"/>
  </cols>
  <sheetData>
    <row r="1" spans="1:8" ht="16.5">
      <c r="A1" s="22" t="s">
        <v>321</v>
      </c>
      <c r="B1" s="23"/>
      <c r="C1" s="367" t="s">
        <v>322</v>
      </c>
      <c r="D1" s="367"/>
      <c r="E1" s="367"/>
      <c r="F1" s="24"/>
      <c r="G1" s="24"/>
      <c r="H1" s="24"/>
    </row>
    <row r="2" spans="1:8" ht="15">
      <c r="A2" s="25" t="s">
        <v>323</v>
      </c>
      <c r="B2" s="25"/>
      <c r="C2" s="368" t="s">
        <v>568</v>
      </c>
      <c r="D2" s="368"/>
      <c r="E2" s="368"/>
      <c r="F2" s="24"/>
      <c r="G2" s="24"/>
      <c r="H2" s="24"/>
    </row>
    <row r="3" spans="1:11" ht="15">
      <c r="A3" s="26" t="s">
        <v>324</v>
      </c>
      <c r="B3" s="24"/>
      <c r="C3" s="24"/>
      <c r="D3" s="24"/>
      <c r="E3" s="24"/>
      <c r="F3" s="24"/>
      <c r="G3" s="24"/>
      <c r="H3" s="27"/>
      <c r="I3" s="361"/>
      <c r="J3" s="361"/>
      <c r="K3" s="361"/>
    </row>
    <row r="4" spans="1:5" ht="12">
      <c r="A4" s="371" t="s">
        <v>267</v>
      </c>
      <c r="B4" s="371"/>
      <c r="C4" s="371"/>
      <c r="D4" s="371"/>
      <c r="E4" s="371"/>
    </row>
    <row r="5" spans="1:5" ht="19.5" customHeight="1">
      <c r="A5" s="372" t="s">
        <v>512</v>
      </c>
      <c r="B5" s="372"/>
      <c r="C5" s="372"/>
      <c r="D5" s="372"/>
      <c r="E5" s="372"/>
    </row>
    <row r="6" ht="12">
      <c r="E6" s="7" t="s">
        <v>265</v>
      </c>
    </row>
    <row r="7" spans="1:5" s="4" customFormat="1" ht="24">
      <c r="A7" s="3" t="s">
        <v>28</v>
      </c>
      <c r="B7" s="3" t="s">
        <v>29</v>
      </c>
      <c r="C7" s="3" t="s">
        <v>30</v>
      </c>
      <c r="D7" s="3" t="s">
        <v>570</v>
      </c>
      <c r="E7" s="3" t="s">
        <v>569</v>
      </c>
    </row>
    <row r="8" spans="1:5" ht="21.75" customHeight="1">
      <c r="A8" s="8" t="s">
        <v>268</v>
      </c>
      <c r="B8" s="8" t="s">
        <v>223</v>
      </c>
      <c r="C8" s="9" t="s">
        <v>269</v>
      </c>
      <c r="D8" s="10">
        <f>'[4]KQKD(Dung)'!$I$13</f>
        <v>86856741226</v>
      </c>
      <c r="E8" s="10">
        <v>79633352333</v>
      </c>
    </row>
    <row r="9" spans="1:5" ht="21.75" customHeight="1">
      <c r="A9" s="8" t="s">
        <v>270</v>
      </c>
      <c r="B9" s="8" t="s">
        <v>225</v>
      </c>
      <c r="C9" s="11" t="s">
        <v>271</v>
      </c>
      <c r="D9" s="12">
        <f>'[4]KQKD(Dung)'!$I$14</f>
        <v>893770874</v>
      </c>
      <c r="E9" s="12">
        <v>2172066559</v>
      </c>
    </row>
    <row r="10" spans="1:5" ht="21.75" customHeight="1">
      <c r="A10" s="15" t="s">
        <v>272</v>
      </c>
      <c r="B10" s="15" t="s">
        <v>273</v>
      </c>
      <c r="C10" s="9" t="s">
        <v>271</v>
      </c>
      <c r="D10" s="10">
        <f>D8-D9</f>
        <v>85962970352</v>
      </c>
      <c r="E10" s="10">
        <f>E8-E9</f>
        <v>77461285774</v>
      </c>
    </row>
    <row r="11" spans="1:6" ht="21.75" customHeight="1">
      <c r="A11" s="8" t="s">
        <v>274</v>
      </c>
      <c r="B11" s="8" t="s">
        <v>275</v>
      </c>
      <c r="C11" s="11" t="s">
        <v>276</v>
      </c>
      <c r="D11" s="12">
        <f>'[4]KQKD(Dung)'!$I$17</f>
        <v>65497234299</v>
      </c>
      <c r="E11" s="12">
        <v>58513186294</v>
      </c>
      <c r="F11" s="214"/>
    </row>
    <row r="12" spans="1:5" ht="21.75" customHeight="1">
      <c r="A12" s="15" t="s">
        <v>277</v>
      </c>
      <c r="B12" s="15" t="s">
        <v>278</v>
      </c>
      <c r="C12" s="9"/>
      <c r="D12" s="10">
        <f>D10-D11</f>
        <v>20465736053</v>
      </c>
      <c r="E12" s="10">
        <f>E10-E11</f>
        <v>18948099480</v>
      </c>
    </row>
    <row r="13" spans="1:5" ht="21.75" customHeight="1">
      <c r="A13" s="8" t="s">
        <v>279</v>
      </c>
      <c r="B13" s="8" t="s">
        <v>280</v>
      </c>
      <c r="C13" s="11" t="s">
        <v>281</v>
      </c>
      <c r="D13" s="12">
        <f>'[4]KQKD(Dung)'!$I$20</f>
        <v>1894079741</v>
      </c>
      <c r="E13" s="12">
        <v>409463343</v>
      </c>
    </row>
    <row r="14" spans="1:5" ht="21.75" customHeight="1">
      <c r="A14" s="8" t="s">
        <v>282</v>
      </c>
      <c r="B14" s="8" t="s">
        <v>283</v>
      </c>
      <c r="C14" s="11" t="s">
        <v>284</v>
      </c>
      <c r="D14" s="12">
        <f>'[4]KQKD(Dung)'!$I$21</f>
        <v>6704551344</v>
      </c>
      <c r="E14" s="12">
        <v>13093719046</v>
      </c>
    </row>
    <row r="15" spans="1:5" s="354" customFormat="1" ht="21.75" customHeight="1">
      <c r="A15" s="353" t="s">
        <v>285</v>
      </c>
      <c r="B15" s="353" t="s">
        <v>286</v>
      </c>
      <c r="C15" s="16"/>
      <c r="D15" s="309">
        <f>'[4]KQKD(Dung)'!$I$22</f>
        <v>5410946344</v>
      </c>
      <c r="E15" s="309">
        <v>5791160244</v>
      </c>
    </row>
    <row r="16" spans="1:5" ht="21.75" customHeight="1">
      <c r="A16" s="8" t="s">
        <v>287</v>
      </c>
      <c r="B16" s="8" t="s">
        <v>288</v>
      </c>
      <c r="C16" s="11"/>
      <c r="D16" s="12"/>
      <c r="E16" s="12"/>
    </row>
    <row r="17" spans="1:5" ht="21.75" customHeight="1">
      <c r="A17" s="8" t="s">
        <v>289</v>
      </c>
      <c r="B17" s="8" t="s">
        <v>290</v>
      </c>
      <c r="C17" s="11" t="s">
        <v>291</v>
      </c>
      <c r="D17" s="12">
        <f>'[4]KQKD(Dung)'!$I$24</f>
        <v>9640358876</v>
      </c>
      <c r="E17" s="12">
        <v>8296162345</v>
      </c>
    </row>
    <row r="18" spans="1:5" ht="26.25" customHeight="1">
      <c r="A18" s="351" t="s">
        <v>292</v>
      </c>
      <c r="B18" s="15" t="s">
        <v>293</v>
      </c>
      <c r="C18" s="9"/>
      <c r="D18" s="10">
        <f>D12+D13-D14-D17</f>
        <v>6014905574</v>
      </c>
      <c r="E18" s="10">
        <f>E12+E13-E14-E17</f>
        <v>-2032318568</v>
      </c>
    </row>
    <row r="19" spans="1:5" ht="21.75" customHeight="1">
      <c r="A19" s="8" t="s">
        <v>294</v>
      </c>
      <c r="B19" s="8" t="s">
        <v>295</v>
      </c>
      <c r="C19" s="11" t="s">
        <v>296</v>
      </c>
      <c r="D19" s="12">
        <f>'[4]KQKD(Dung)'!$I$27</f>
        <v>324809091</v>
      </c>
      <c r="E19" s="12">
        <v>3008706002</v>
      </c>
    </row>
    <row r="20" spans="1:5" ht="21.75" customHeight="1">
      <c r="A20" s="8" t="s">
        <v>297</v>
      </c>
      <c r="B20" s="8" t="s">
        <v>298</v>
      </c>
      <c r="C20" s="11" t="s">
        <v>299</v>
      </c>
      <c r="D20" s="12">
        <f>'[4]KQKD(Dung)'!$I$28</f>
        <v>21312675</v>
      </c>
      <c r="E20" s="12">
        <v>6595352</v>
      </c>
    </row>
    <row r="21" spans="1:5" ht="21.75" customHeight="1">
      <c r="A21" s="15" t="s">
        <v>300</v>
      </c>
      <c r="B21" s="15" t="s">
        <v>301</v>
      </c>
      <c r="C21" s="9"/>
      <c r="D21" s="10">
        <f>D19-D20</f>
        <v>303496416</v>
      </c>
      <c r="E21" s="10">
        <f>E19-E20</f>
        <v>3002110650</v>
      </c>
    </row>
    <row r="22" spans="1:5" ht="21.75" customHeight="1">
      <c r="A22" s="8" t="s">
        <v>302</v>
      </c>
      <c r="B22" s="8" t="s">
        <v>303</v>
      </c>
      <c r="C22" s="9"/>
      <c r="D22" s="10"/>
      <c r="E22" s="10"/>
    </row>
    <row r="23" spans="1:5" ht="21.75" customHeight="1">
      <c r="A23" s="15" t="s">
        <v>304</v>
      </c>
      <c r="B23" s="15" t="s">
        <v>305</v>
      </c>
      <c r="C23" s="11" t="s">
        <v>306</v>
      </c>
      <c r="D23" s="10">
        <f>D18+D21</f>
        <v>6318401990</v>
      </c>
      <c r="E23" s="10">
        <f>E18+E21</f>
        <v>969792082</v>
      </c>
    </row>
    <row r="24" spans="1:5" ht="21.75" customHeight="1">
      <c r="A24" s="8" t="s">
        <v>307</v>
      </c>
      <c r="B24" s="8" t="s">
        <v>308</v>
      </c>
      <c r="C24" s="8"/>
      <c r="D24" s="12">
        <f>'[4]KQKD(Dung)'!$I$32</f>
        <v>1621358270</v>
      </c>
      <c r="E24" s="12">
        <v>306039742</v>
      </c>
    </row>
    <row r="25" spans="1:5" ht="21.75" customHeight="1">
      <c r="A25" s="8" t="s">
        <v>309</v>
      </c>
      <c r="B25" s="8" t="s">
        <v>310</v>
      </c>
      <c r="C25" s="8"/>
      <c r="D25" s="12"/>
      <c r="E25" s="12"/>
    </row>
    <row r="26" spans="1:6" ht="21.75" customHeight="1">
      <c r="A26" s="15" t="s">
        <v>311</v>
      </c>
      <c r="B26" s="15" t="s">
        <v>312</v>
      </c>
      <c r="C26" s="15"/>
      <c r="D26" s="10">
        <f>D23-D24</f>
        <v>4697043720</v>
      </c>
      <c r="E26" s="10">
        <f>E23-E24</f>
        <v>663752340</v>
      </c>
      <c r="F26" s="214"/>
    </row>
    <row r="27" spans="1:5" ht="21.75" customHeight="1">
      <c r="A27" s="8" t="s">
        <v>313</v>
      </c>
      <c r="B27" s="8" t="s">
        <v>314</v>
      </c>
      <c r="C27" s="8"/>
      <c r="D27" s="8"/>
      <c r="E27" s="8"/>
    </row>
    <row r="28" spans="1:5" ht="21.75" customHeight="1">
      <c r="A28" s="8" t="s">
        <v>315</v>
      </c>
      <c r="B28" s="8" t="s">
        <v>316</v>
      </c>
      <c r="C28" s="8"/>
      <c r="D28" s="8"/>
      <c r="E28" s="8"/>
    </row>
    <row r="29" spans="1:5" ht="21.75" customHeight="1">
      <c r="A29" s="8" t="s">
        <v>317</v>
      </c>
      <c r="B29" s="8" t="s">
        <v>318</v>
      </c>
      <c r="C29" s="8"/>
      <c r="D29" s="17"/>
      <c r="E29" s="17"/>
    </row>
    <row r="31" spans="4:5" ht="12.75">
      <c r="D31" s="373" t="s">
        <v>571</v>
      </c>
      <c r="E31" s="373"/>
    </row>
    <row r="32" spans="1:5" ht="12.75">
      <c r="A32" s="18" t="s">
        <v>259</v>
      </c>
      <c r="B32" s="19" t="s">
        <v>261</v>
      </c>
      <c r="D32" s="369" t="s">
        <v>319</v>
      </c>
      <c r="E32" s="369"/>
    </row>
    <row r="38" spans="1:5" ht="12.75">
      <c r="A38" s="20" t="s">
        <v>260</v>
      </c>
      <c r="B38" s="21" t="s">
        <v>262</v>
      </c>
      <c r="D38" s="370" t="s">
        <v>320</v>
      </c>
      <c r="E38" s="370"/>
    </row>
  </sheetData>
  <mergeCells count="8">
    <mergeCell ref="D38:E38"/>
    <mergeCell ref="A4:E4"/>
    <mergeCell ref="A5:E5"/>
    <mergeCell ref="D31:E31"/>
    <mergeCell ref="C1:E1"/>
    <mergeCell ref="C2:E2"/>
    <mergeCell ref="I3:K3"/>
    <mergeCell ref="D32:E32"/>
  </mergeCells>
  <printOptions/>
  <pageMargins left="0.34" right="0.25" top="0.48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4">
      <selection activeCell="G29" sqref="G29"/>
    </sheetView>
  </sheetViews>
  <sheetFormatPr defaultColWidth="9.140625" defaultRowHeight="12"/>
  <cols>
    <col min="1" max="1" width="52.00390625" style="1" customWidth="1"/>
    <col min="2" max="2" width="8.8515625" style="1" customWidth="1"/>
    <col min="3" max="3" width="9.140625" style="1" customWidth="1"/>
    <col min="4" max="4" width="14.57421875" style="1" customWidth="1"/>
    <col min="5" max="5" width="14.421875" style="1" customWidth="1"/>
    <col min="6" max="6" width="15.8515625" style="1" customWidth="1"/>
    <col min="7" max="7" width="16.421875" style="1" customWidth="1"/>
    <col min="8" max="16384" width="9.140625" style="1" customWidth="1"/>
  </cols>
  <sheetData>
    <row r="1" spans="1:7" ht="12">
      <c r="A1" s="377" t="s">
        <v>516</v>
      </c>
      <c r="B1" s="376"/>
      <c r="F1" s="371" t="s">
        <v>517</v>
      </c>
      <c r="G1" s="371"/>
    </row>
    <row r="2" spans="1:7" ht="12">
      <c r="A2" s="376" t="s">
        <v>518</v>
      </c>
      <c r="B2" s="376"/>
      <c r="F2" s="371" t="s">
        <v>564</v>
      </c>
      <c r="G2" s="371"/>
    </row>
    <row r="3" spans="1:5" ht="12">
      <c r="A3" s="376" t="s">
        <v>519</v>
      </c>
      <c r="B3" s="376"/>
      <c r="C3" s="312"/>
      <c r="D3" s="312"/>
      <c r="E3" s="312"/>
    </row>
    <row r="4" spans="1:7" ht="12">
      <c r="A4" s="371" t="s">
        <v>267</v>
      </c>
      <c r="B4" s="371"/>
      <c r="C4" s="371"/>
      <c r="D4" s="371"/>
      <c r="E4" s="371"/>
      <c r="F4" s="371"/>
      <c r="G4" s="371"/>
    </row>
    <row r="5" spans="1:7" ht="19.5" customHeight="1">
      <c r="A5" s="372" t="s">
        <v>520</v>
      </c>
      <c r="B5" s="372"/>
      <c r="C5" s="372"/>
      <c r="D5" s="372"/>
      <c r="E5" s="372"/>
      <c r="F5" s="372"/>
      <c r="G5" s="372"/>
    </row>
    <row r="6" ht="12">
      <c r="G6" s="7" t="s">
        <v>265</v>
      </c>
    </row>
    <row r="7" spans="1:7" s="4" customFormat="1" ht="36">
      <c r="A7" s="3" t="s">
        <v>28</v>
      </c>
      <c r="B7" s="3" t="s">
        <v>29</v>
      </c>
      <c r="C7" s="3" t="s">
        <v>30</v>
      </c>
      <c r="D7" s="3" t="s">
        <v>521</v>
      </c>
      <c r="E7" s="3" t="s">
        <v>522</v>
      </c>
      <c r="F7" s="3" t="s">
        <v>523</v>
      </c>
      <c r="G7" s="3" t="s">
        <v>524</v>
      </c>
    </row>
    <row r="8" spans="1:7" ht="15">
      <c r="A8" s="8" t="s">
        <v>268</v>
      </c>
      <c r="B8" s="8" t="s">
        <v>223</v>
      </c>
      <c r="C8" s="9" t="s">
        <v>269</v>
      </c>
      <c r="D8" s="10">
        <f>'[4]KQKD(Dung)'!$G$13</f>
        <v>23312732068</v>
      </c>
      <c r="E8" s="10">
        <v>24538205233</v>
      </c>
      <c r="F8" s="10">
        <f>'KQKD '!D8</f>
        <v>86856741226</v>
      </c>
      <c r="G8" s="10">
        <f>'KQKD '!E8</f>
        <v>79633352333</v>
      </c>
    </row>
    <row r="9" spans="1:7" ht="14.25">
      <c r="A9" s="8" t="s">
        <v>270</v>
      </c>
      <c r="B9" s="8" t="s">
        <v>225</v>
      </c>
      <c r="C9" s="11" t="s">
        <v>271</v>
      </c>
      <c r="D9" s="12">
        <f>'[4]KQKD(Dung)'!$G$14</f>
        <v>64296540</v>
      </c>
      <c r="E9" s="12">
        <v>44498351</v>
      </c>
      <c r="F9" s="12">
        <f>'KQKD '!D9</f>
        <v>893770874</v>
      </c>
      <c r="G9" s="12">
        <f>'KQKD '!E9</f>
        <v>2172066559</v>
      </c>
    </row>
    <row r="10" spans="1:7" ht="15">
      <c r="A10" s="15" t="s">
        <v>272</v>
      </c>
      <c r="B10" s="15" t="s">
        <v>273</v>
      </c>
      <c r="C10" s="9" t="s">
        <v>271</v>
      </c>
      <c r="D10" s="10">
        <f>D8-D9</f>
        <v>23248435528</v>
      </c>
      <c r="E10" s="10">
        <f>E8-E9</f>
        <v>24493706882</v>
      </c>
      <c r="F10" s="10">
        <f>F8-F9</f>
        <v>85962970352</v>
      </c>
      <c r="G10" s="10">
        <f>G8-G9</f>
        <v>77461285774</v>
      </c>
    </row>
    <row r="11" spans="1:7" ht="14.25">
      <c r="A11" s="8" t="s">
        <v>274</v>
      </c>
      <c r="B11" s="8" t="s">
        <v>275</v>
      </c>
      <c r="C11" s="11" t="s">
        <v>276</v>
      </c>
      <c r="D11" s="12">
        <f>'[4]KQKD(Dung)'!$G$17</f>
        <v>16125318779</v>
      </c>
      <c r="E11" s="12">
        <v>19554550616</v>
      </c>
      <c r="F11" s="12">
        <f>'KQKD '!D11</f>
        <v>65497234299</v>
      </c>
      <c r="G11" s="12">
        <f>'KQKD '!E11</f>
        <v>58513186294</v>
      </c>
    </row>
    <row r="12" spans="1:7" ht="15">
      <c r="A12" s="15" t="s">
        <v>277</v>
      </c>
      <c r="B12" s="15" t="s">
        <v>278</v>
      </c>
      <c r="C12" s="9"/>
      <c r="D12" s="10">
        <f>D10-D11</f>
        <v>7123116749</v>
      </c>
      <c r="E12" s="10">
        <f>E10-E11</f>
        <v>4939156266</v>
      </c>
      <c r="F12" s="10">
        <f>F10-F11</f>
        <v>20465736053</v>
      </c>
      <c r="G12" s="10">
        <f>G10-G11</f>
        <v>18948099480</v>
      </c>
    </row>
    <row r="13" spans="1:7" ht="14.25">
      <c r="A13" s="8" t="s">
        <v>279</v>
      </c>
      <c r="B13" s="8" t="s">
        <v>280</v>
      </c>
      <c r="C13" s="11" t="s">
        <v>281</v>
      </c>
      <c r="D13" s="12">
        <f>'[4]KQKD(Dung)'!$G$20</f>
        <v>22247173</v>
      </c>
      <c r="E13" s="12">
        <v>376109702</v>
      </c>
      <c r="F13" s="12">
        <f>'KQKD '!D13</f>
        <v>1894079741</v>
      </c>
      <c r="G13" s="12">
        <f>'KQKD '!E13</f>
        <v>409463343</v>
      </c>
    </row>
    <row r="14" spans="1:7" ht="14.25">
      <c r="A14" s="8" t="s">
        <v>282</v>
      </c>
      <c r="B14" s="8" t="s">
        <v>283</v>
      </c>
      <c r="C14" s="11" t="s">
        <v>284</v>
      </c>
      <c r="D14" s="12">
        <f>'[4]KQKD(Dung)'!$G$21</f>
        <v>2695934315</v>
      </c>
      <c r="E14" s="12">
        <v>2539257155</v>
      </c>
      <c r="F14" s="12">
        <f>'KQKD '!D14</f>
        <v>6704551344</v>
      </c>
      <c r="G14" s="12">
        <f>'KQKD '!E14</f>
        <v>13093719046</v>
      </c>
    </row>
    <row r="15" spans="1:7" s="354" customFormat="1" ht="15">
      <c r="A15" s="353" t="s">
        <v>285</v>
      </c>
      <c r="B15" s="353" t="s">
        <v>286</v>
      </c>
      <c r="C15" s="16"/>
      <c r="D15" s="309">
        <v>1778731955</v>
      </c>
      <c r="E15" s="309">
        <v>1954319082</v>
      </c>
      <c r="F15" s="309">
        <f>'KQKD '!D15</f>
        <v>5410946344</v>
      </c>
      <c r="G15" s="309">
        <f>'KQKD '!E15</f>
        <v>5791160244</v>
      </c>
    </row>
    <row r="16" spans="1:7" ht="14.25">
      <c r="A16" s="8" t="s">
        <v>287</v>
      </c>
      <c r="B16" s="8" t="s">
        <v>288</v>
      </c>
      <c r="C16" s="11"/>
      <c r="D16" s="12"/>
      <c r="E16" s="12"/>
      <c r="F16" s="12">
        <v>0</v>
      </c>
      <c r="G16" s="12"/>
    </row>
    <row r="17" spans="1:7" ht="14.25">
      <c r="A17" s="8" t="s">
        <v>289</v>
      </c>
      <c r="B17" s="8" t="s">
        <v>290</v>
      </c>
      <c r="C17" s="11" t="s">
        <v>291</v>
      </c>
      <c r="D17" s="12">
        <f>'[4]KQKD(Dung)'!$G$24</f>
        <v>3120169453</v>
      </c>
      <c r="E17" s="12">
        <v>2495900807</v>
      </c>
      <c r="F17" s="12">
        <f>'KQKD '!D17</f>
        <v>9640358876</v>
      </c>
      <c r="G17" s="12">
        <f>'KQKD '!E17</f>
        <v>8296162345</v>
      </c>
    </row>
    <row r="18" spans="1:7" ht="15">
      <c r="A18" s="15" t="s">
        <v>292</v>
      </c>
      <c r="B18" s="15" t="s">
        <v>293</v>
      </c>
      <c r="C18" s="9"/>
      <c r="D18" s="10">
        <f>D12+D13-D14-D17</f>
        <v>1329260154</v>
      </c>
      <c r="E18" s="10">
        <f>E12+E13-E14-E17</f>
        <v>280108006</v>
      </c>
      <c r="F18" s="10">
        <f>F12+F13-F14-F17</f>
        <v>6014905574</v>
      </c>
      <c r="G18" s="10">
        <f>G12+G13-G14-G17</f>
        <v>-2032318568</v>
      </c>
    </row>
    <row r="19" spans="1:7" ht="14.25">
      <c r="A19" s="8" t="s">
        <v>294</v>
      </c>
      <c r="B19" s="8" t="s">
        <v>295</v>
      </c>
      <c r="C19" s="11" t="s">
        <v>296</v>
      </c>
      <c r="D19" s="12">
        <f>'[4]KQKD(Dung)'!$G$27</f>
        <v>0</v>
      </c>
      <c r="E19" s="12"/>
      <c r="F19" s="12">
        <f>'KQKD '!D19</f>
        <v>324809091</v>
      </c>
      <c r="G19" s="12">
        <f>'KQKD '!E19</f>
        <v>3008706002</v>
      </c>
    </row>
    <row r="20" spans="1:7" ht="14.25">
      <c r="A20" s="8" t="s">
        <v>297</v>
      </c>
      <c r="B20" s="8" t="s">
        <v>298</v>
      </c>
      <c r="C20" s="11" t="s">
        <v>299</v>
      </c>
      <c r="D20" s="12">
        <f>'[4]KQKD(Dung)'!$G$28</f>
        <v>0</v>
      </c>
      <c r="E20" s="12">
        <v>1500000</v>
      </c>
      <c r="F20" s="12">
        <f>'KQKD '!D20</f>
        <v>21312675</v>
      </c>
      <c r="G20" s="12">
        <f>'KQKD '!E20</f>
        <v>6595352</v>
      </c>
    </row>
    <row r="21" spans="1:7" ht="15">
      <c r="A21" s="15" t="s">
        <v>300</v>
      </c>
      <c r="B21" s="15" t="s">
        <v>301</v>
      </c>
      <c r="C21" s="9"/>
      <c r="D21" s="10">
        <f>D19-D20</f>
        <v>0</v>
      </c>
      <c r="E21" s="10">
        <f>E19-E20</f>
        <v>-1500000</v>
      </c>
      <c r="F21" s="10">
        <f>F19-F20</f>
        <v>303496416</v>
      </c>
      <c r="G21" s="10">
        <f>G19-G20</f>
        <v>3002110650</v>
      </c>
    </row>
    <row r="22" spans="1:7" ht="15">
      <c r="A22" s="8" t="s">
        <v>302</v>
      </c>
      <c r="B22" s="8" t="s">
        <v>303</v>
      </c>
      <c r="C22" s="9"/>
      <c r="D22" s="10"/>
      <c r="E22" s="10"/>
      <c r="F22" s="10"/>
      <c r="G22" s="10"/>
    </row>
    <row r="23" spans="1:7" ht="14.25">
      <c r="A23" s="15" t="s">
        <v>304</v>
      </c>
      <c r="B23" s="15" t="s">
        <v>305</v>
      </c>
      <c r="C23" s="11" t="s">
        <v>306</v>
      </c>
      <c r="D23" s="10">
        <f>D18+D21</f>
        <v>1329260154</v>
      </c>
      <c r="E23" s="10">
        <f>E18+E21</f>
        <v>278608006</v>
      </c>
      <c r="F23" s="10">
        <f>F18+F21</f>
        <v>6318401990</v>
      </c>
      <c r="G23" s="10">
        <f>G18+G21</f>
        <v>969792082</v>
      </c>
    </row>
    <row r="24" spans="1:7" ht="14.25">
      <c r="A24" s="8" t="s">
        <v>307</v>
      </c>
      <c r="B24" s="8" t="s">
        <v>308</v>
      </c>
      <c r="C24" s="11"/>
      <c r="D24" s="310">
        <f>'[4]KQKD(Dung)'!$G$32</f>
        <v>339089243</v>
      </c>
      <c r="E24" s="12">
        <v>98431118</v>
      </c>
      <c r="F24" s="12">
        <v>1621358270</v>
      </c>
      <c r="G24" s="12">
        <f>'KQKD '!E24</f>
        <v>306039742</v>
      </c>
    </row>
    <row r="25" spans="1:7" ht="15">
      <c r="A25" s="8" t="s">
        <v>309</v>
      </c>
      <c r="B25" s="8" t="s">
        <v>310</v>
      </c>
      <c r="C25" s="9"/>
      <c r="D25" s="12">
        <v>0</v>
      </c>
      <c r="E25" s="12"/>
      <c r="F25" s="12">
        <v>0</v>
      </c>
      <c r="G25" s="12"/>
    </row>
    <row r="26" spans="1:7" ht="14.25">
      <c r="A26" s="15" t="s">
        <v>311</v>
      </c>
      <c r="B26" s="15" t="s">
        <v>312</v>
      </c>
      <c r="C26" s="11"/>
      <c r="D26" s="10">
        <f>D23-D24</f>
        <v>990170911</v>
      </c>
      <c r="E26" s="10">
        <f>E23-E24</f>
        <v>180176888</v>
      </c>
      <c r="F26" s="10">
        <f>F23-F24</f>
        <v>4697043720</v>
      </c>
      <c r="G26" s="10">
        <f>G23-G24</f>
        <v>663752340</v>
      </c>
    </row>
    <row r="27" spans="1:7" ht="14.25">
      <c r="A27" s="8" t="s">
        <v>313</v>
      </c>
      <c r="B27" s="8" t="s">
        <v>314</v>
      </c>
      <c r="C27" s="11"/>
      <c r="D27" s="10"/>
      <c r="E27" s="10"/>
      <c r="F27" s="10"/>
      <c r="G27" s="10"/>
    </row>
    <row r="28" spans="1:7" ht="15">
      <c r="A28" s="8" t="s">
        <v>315</v>
      </c>
      <c r="B28" s="8" t="s">
        <v>316</v>
      </c>
      <c r="C28" s="9"/>
      <c r="D28" s="10"/>
      <c r="E28" s="10"/>
      <c r="F28" s="10"/>
      <c r="G28" s="10"/>
    </row>
    <row r="29" spans="1:7" ht="15">
      <c r="A29" s="8" t="s">
        <v>317</v>
      </c>
      <c r="B29" s="8" t="s">
        <v>318</v>
      </c>
      <c r="C29" s="8"/>
      <c r="D29" s="311">
        <f>D26/(((999896000*1)+(12496929000*2))/3)</f>
        <v>0.11427794280887632</v>
      </c>
      <c r="E29" s="311">
        <v>0.018</v>
      </c>
      <c r="F29" s="311">
        <f>F26/(((9998960000*7)+(12496929000*2))/9)</f>
        <v>0.44504596723128614</v>
      </c>
      <c r="G29" s="311">
        <v>0.012</v>
      </c>
    </row>
    <row r="31" spans="6:7" ht="12.75">
      <c r="F31" s="373" t="s">
        <v>571</v>
      </c>
      <c r="G31" s="373"/>
    </row>
    <row r="32" spans="1:7" ht="12.75">
      <c r="A32" s="18" t="s">
        <v>259</v>
      </c>
      <c r="B32" s="374" t="s">
        <v>261</v>
      </c>
      <c r="C32" s="374"/>
      <c r="D32" s="374"/>
      <c r="E32" s="374"/>
      <c r="F32" s="369" t="s">
        <v>319</v>
      </c>
      <c r="G32" s="369"/>
    </row>
    <row r="36" ht="12">
      <c r="G36" s="214"/>
    </row>
    <row r="37" spans="1:7" ht="12.75">
      <c r="A37" s="20" t="s">
        <v>260</v>
      </c>
      <c r="B37" s="375" t="s">
        <v>262</v>
      </c>
      <c r="C37" s="375"/>
      <c r="D37" s="375"/>
      <c r="E37" s="375"/>
      <c r="F37" s="370" t="s">
        <v>320</v>
      </c>
      <c r="G37" s="370"/>
    </row>
  </sheetData>
  <mergeCells count="12">
    <mergeCell ref="A1:B1"/>
    <mergeCell ref="F1:G1"/>
    <mergeCell ref="A2:B2"/>
    <mergeCell ref="F2:G2"/>
    <mergeCell ref="A3:B3"/>
    <mergeCell ref="A4:G4"/>
    <mergeCell ref="A5:G5"/>
    <mergeCell ref="F31:G31"/>
    <mergeCell ref="B32:E32"/>
    <mergeCell ref="F32:G32"/>
    <mergeCell ref="B37:E37"/>
    <mergeCell ref="F37:G37"/>
  </mergeCells>
  <printOptions/>
  <pageMargins left="0.66" right="0.2" top="0.53" bottom="0.27" header="0.5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1">
      <selection activeCell="A42" sqref="A42"/>
    </sheetView>
  </sheetViews>
  <sheetFormatPr defaultColWidth="9.140625" defaultRowHeight="12"/>
  <cols>
    <col min="1" max="1" width="49.57421875" style="1" customWidth="1"/>
    <col min="2" max="2" width="8.00390625" style="1" customWidth="1"/>
    <col min="3" max="3" width="6.8515625" style="1" customWidth="1"/>
    <col min="4" max="4" width="17.28125" style="1" customWidth="1"/>
    <col min="5" max="5" width="17.140625" style="1" customWidth="1"/>
    <col min="6" max="6" width="13.57421875" style="1" bestFit="1" customWidth="1"/>
    <col min="7" max="16384" width="9.140625" style="1" customWidth="1"/>
  </cols>
  <sheetData>
    <row r="1" spans="1:5" ht="16.5">
      <c r="A1" s="22" t="s">
        <v>321</v>
      </c>
      <c r="B1" s="23"/>
      <c r="C1" s="367" t="s">
        <v>322</v>
      </c>
      <c r="D1" s="367"/>
      <c r="E1" s="367"/>
    </row>
    <row r="2" spans="1:5" ht="15">
      <c r="A2" s="25" t="s">
        <v>323</v>
      </c>
      <c r="B2" s="25"/>
      <c r="C2" s="368" t="s">
        <v>568</v>
      </c>
      <c r="D2" s="368"/>
      <c r="E2" s="368"/>
    </row>
    <row r="3" spans="1:5" ht="14.25">
      <c r="A3" s="26" t="s">
        <v>324</v>
      </c>
      <c r="B3" s="24"/>
      <c r="C3" s="24"/>
      <c r="D3" s="24"/>
      <c r="E3" s="24"/>
    </row>
    <row r="4" spans="1:5" ht="12">
      <c r="A4" s="371" t="s">
        <v>471</v>
      </c>
      <c r="B4" s="371"/>
      <c r="C4" s="371"/>
      <c r="D4" s="371"/>
      <c r="E4" s="371"/>
    </row>
    <row r="5" spans="1:5" ht="19.5" customHeight="1">
      <c r="A5" s="372" t="s">
        <v>513</v>
      </c>
      <c r="B5" s="372"/>
      <c r="C5" s="372"/>
      <c r="D5" s="372"/>
      <c r="E5" s="372"/>
    </row>
    <row r="6" ht="12">
      <c r="E6" s="7" t="s">
        <v>265</v>
      </c>
    </row>
    <row r="8" spans="1:5" s="4" customFormat="1" ht="24">
      <c r="A8" s="3" t="s">
        <v>28</v>
      </c>
      <c r="B8" s="3" t="s">
        <v>29</v>
      </c>
      <c r="C8" s="3" t="s">
        <v>30</v>
      </c>
      <c r="D8" s="3" t="s">
        <v>570</v>
      </c>
      <c r="E8" s="3" t="s">
        <v>569</v>
      </c>
    </row>
    <row r="9" spans="1:5" ht="17.25" customHeight="1">
      <c r="A9" s="15" t="s">
        <v>472</v>
      </c>
      <c r="B9" s="15"/>
      <c r="C9" s="15"/>
      <c r="D9" s="15"/>
      <c r="E9" s="15"/>
    </row>
    <row r="10" spans="1:5" ht="17.25" customHeight="1">
      <c r="A10" s="8" t="s">
        <v>473</v>
      </c>
      <c r="B10" s="8" t="s">
        <v>223</v>
      </c>
      <c r="C10" s="101"/>
      <c r="D10" s="102">
        <f>'[5]BC LCTT'!$D$10+980000000</f>
        <v>116950155946</v>
      </c>
      <c r="E10" s="102">
        <v>46400974064</v>
      </c>
    </row>
    <row r="11" spans="1:5" ht="17.25" customHeight="1">
      <c r="A11" s="8" t="s">
        <v>474</v>
      </c>
      <c r="B11" s="8" t="s">
        <v>225</v>
      </c>
      <c r="C11" s="101"/>
      <c r="D11" s="102">
        <f>'[5]BC LCTT'!$D$11:$D$11-613157900</f>
        <v>-22060222829</v>
      </c>
      <c r="E11" s="102">
        <v>-15922180024</v>
      </c>
    </row>
    <row r="12" spans="1:5" ht="17.25" customHeight="1">
      <c r="A12" s="8" t="s">
        <v>475</v>
      </c>
      <c r="B12" s="8" t="s">
        <v>227</v>
      </c>
      <c r="C12" s="81"/>
      <c r="D12" s="102">
        <f>'[5]BC LCTT'!$D$12-709447000</f>
        <v>-5505727945</v>
      </c>
      <c r="E12" s="102">
        <v>-7436270687</v>
      </c>
    </row>
    <row r="13" spans="1:5" ht="17.25" customHeight="1">
      <c r="A13" s="8" t="s">
        <v>476</v>
      </c>
      <c r="B13" s="8" t="s">
        <v>229</v>
      </c>
      <c r="C13" s="101"/>
      <c r="D13" s="102">
        <f>'[5]BC LCTT'!$D$13</f>
        <v>-10346650253</v>
      </c>
      <c r="E13" s="102">
        <v>-8526696682</v>
      </c>
    </row>
    <row r="14" spans="1:5" ht="17.25" customHeight="1">
      <c r="A14" s="8" t="s">
        <v>477</v>
      </c>
      <c r="B14" s="8" t="s">
        <v>231</v>
      </c>
      <c r="C14" s="81"/>
      <c r="D14" s="102">
        <v>0</v>
      </c>
      <c r="E14" s="102"/>
    </row>
    <row r="15" spans="1:5" ht="17.25" customHeight="1">
      <c r="A15" s="8" t="s">
        <v>478</v>
      </c>
      <c r="B15" s="8" t="s">
        <v>233</v>
      </c>
      <c r="C15" s="81"/>
      <c r="D15" s="102">
        <f>'[5]BC LCTT'!$D$15+2779517392</f>
        <v>12448096164</v>
      </c>
      <c r="E15" s="102">
        <v>14666538306</v>
      </c>
    </row>
    <row r="16" spans="1:5" ht="17.25" customHeight="1">
      <c r="A16" s="8" t="s">
        <v>479</v>
      </c>
      <c r="B16" s="8" t="s">
        <v>480</v>
      </c>
      <c r="C16" s="81"/>
      <c r="D16" s="102">
        <f>'[5]BC LCTT'!$D$16-3209386311</f>
        <v>-61950190073</v>
      </c>
      <c r="E16" s="102">
        <v>-40935743492</v>
      </c>
    </row>
    <row r="17" spans="1:5" ht="17.25" customHeight="1">
      <c r="A17" s="15" t="s">
        <v>481</v>
      </c>
      <c r="B17" s="15" t="s">
        <v>278</v>
      </c>
      <c r="C17" s="13"/>
      <c r="D17" s="14">
        <f>SUM(D10:D16)</f>
        <v>29535461010</v>
      </c>
      <c r="E17" s="14">
        <f>SUM(E10:E16)</f>
        <v>-11753378515</v>
      </c>
    </row>
    <row r="18" spans="1:5" ht="17.25" customHeight="1">
      <c r="A18" s="15" t="s">
        <v>482</v>
      </c>
      <c r="B18" s="15"/>
      <c r="C18" s="13"/>
      <c r="D18" s="14">
        <v>0</v>
      </c>
      <c r="E18" s="14"/>
    </row>
    <row r="19" spans="1:5" ht="17.25" customHeight="1">
      <c r="A19" s="8" t="s">
        <v>483</v>
      </c>
      <c r="B19" s="8" t="s">
        <v>280</v>
      </c>
      <c r="C19" s="205"/>
      <c r="D19" s="102">
        <f>'[5]BC LCTT'!$D$19</f>
        <v>-108180181</v>
      </c>
      <c r="E19" s="102">
        <v>-767355882</v>
      </c>
    </row>
    <row r="20" spans="1:5" ht="17.25" customHeight="1">
      <c r="A20" s="8" t="s">
        <v>484</v>
      </c>
      <c r="B20" s="8" t="s">
        <v>283</v>
      </c>
      <c r="C20" s="101"/>
      <c r="D20" s="102">
        <v>0</v>
      </c>
      <c r="E20" s="102"/>
    </row>
    <row r="21" spans="1:5" ht="17.25" customHeight="1">
      <c r="A21" s="8" t="s">
        <v>485</v>
      </c>
      <c r="B21" s="8" t="s">
        <v>286</v>
      </c>
      <c r="C21" s="101"/>
      <c r="D21" s="102">
        <f>'[5]BC LCTT'!$D$21:$D$21</f>
        <v>-3980000000</v>
      </c>
      <c r="E21" s="102">
        <v>-1650000000</v>
      </c>
    </row>
    <row r="22" spans="1:5" ht="17.25" customHeight="1">
      <c r="A22" s="8" t="s">
        <v>486</v>
      </c>
      <c r="B22" s="8" t="s">
        <v>288</v>
      </c>
      <c r="C22" s="81"/>
      <c r="D22" s="102">
        <f>'[5]BC LCTT'!$D$22</f>
        <v>900000000</v>
      </c>
      <c r="E22" s="102"/>
    </row>
    <row r="23" spans="1:5" ht="17.25" customHeight="1">
      <c r="A23" s="8" t="s">
        <v>487</v>
      </c>
      <c r="B23" s="8" t="s">
        <v>290</v>
      </c>
      <c r="C23" s="81"/>
      <c r="D23" s="102"/>
      <c r="E23" s="102"/>
    </row>
    <row r="24" spans="1:5" ht="17.25" customHeight="1">
      <c r="A24" s="8" t="s">
        <v>488</v>
      </c>
      <c r="B24" s="8" t="s">
        <v>489</v>
      </c>
      <c r="C24" s="81"/>
      <c r="D24" s="102">
        <v>0</v>
      </c>
      <c r="E24" s="102"/>
    </row>
    <row r="25" spans="1:5" ht="17.25" customHeight="1">
      <c r="A25" s="8" t="s">
        <v>490</v>
      </c>
      <c r="B25" s="8" t="s">
        <v>491</v>
      </c>
      <c r="C25" s="81"/>
      <c r="D25" s="206">
        <f>'[5]BC LCTT'!$D$25+13290042</f>
        <v>69830317</v>
      </c>
      <c r="E25" s="206">
        <v>44343382</v>
      </c>
    </row>
    <row r="26" spans="1:6" ht="17.25" customHeight="1">
      <c r="A26" s="15" t="s">
        <v>492</v>
      </c>
      <c r="B26" s="15" t="s">
        <v>293</v>
      </c>
      <c r="C26" s="13"/>
      <c r="D26" s="14">
        <f>SUM(D19:D25)</f>
        <v>-3118349864</v>
      </c>
      <c r="E26" s="14">
        <f>SUM(E19:E25)</f>
        <v>-2373012500</v>
      </c>
      <c r="F26" s="214">
        <f>E26+2373012500</f>
        <v>0</v>
      </c>
    </row>
    <row r="27" spans="1:5" ht="17.25" customHeight="1">
      <c r="A27" s="15" t="s">
        <v>493</v>
      </c>
      <c r="B27" s="15"/>
      <c r="C27" s="207"/>
      <c r="D27" s="14">
        <v>0</v>
      </c>
      <c r="E27" s="14"/>
    </row>
    <row r="28" spans="1:5" ht="17.25" customHeight="1">
      <c r="A28" s="8" t="s">
        <v>494</v>
      </c>
      <c r="B28" s="8" t="s">
        <v>295</v>
      </c>
      <c r="C28" s="207"/>
      <c r="D28" s="102"/>
      <c r="E28" s="102"/>
    </row>
    <row r="29" spans="1:5" ht="17.25" customHeight="1">
      <c r="A29" s="8" t="s">
        <v>495</v>
      </c>
      <c r="B29" s="8" t="s">
        <v>298</v>
      </c>
      <c r="C29" s="81"/>
      <c r="D29" s="102">
        <v>0</v>
      </c>
      <c r="E29" s="102"/>
    </row>
    <row r="30" spans="1:5" ht="17.25" customHeight="1">
      <c r="A30" s="8" t="s">
        <v>496</v>
      </c>
      <c r="B30" s="8" t="s">
        <v>497</v>
      </c>
      <c r="C30" s="207"/>
      <c r="D30" s="102">
        <f>'[5]BC LCTT'!$D$30+53363000-3363000</f>
        <v>10598639818</v>
      </c>
      <c r="E30" s="102">
        <v>45186477076</v>
      </c>
    </row>
    <row r="31" spans="1:5" ht="17.25" customHeight="1">
      <c r="A31" s="8" t="s">
        <v>498</v>
      </c>
      <c r="B31" s="8" t="s">
        <v>499</v>
      </c>
      <c r="C31" s="81"/>
      <c r="D31" s="102">
        <f>'[5]BC LCTT'!$D$31</f>
        <v>-37960402816</v>
      </c>
      <c r="E31" s="102">
        <v>-22950238903</v>
      </c>
    </row>
    <row r="32" spans="1:5" ht="17.25" customHeight="1">
      <c r="A32" s="8" t="s">
        <v>500</v>
      </c>
      <c r="B32" s="8" t="s">
        <v>501</v>
      </c>
      <c r="C32" s="207"/>
      <c r="D32" s="206">
        <f>'[5]BC LCTT'!$D$32</f>
        <v>-5532250023</v>
      </c>
      <c r="E32" s="206">
        <v>-5937849680</v>
      </c>
    </row>
    <row r="33" spans="1:5" ht="17.25" customHeight="1">
      <c r="A33" s="8" t="s">
        <v>502</v>
      </c>
      <c r="B33" s="8" t="s">
        <v>503</v>
      </c>
      <c r="C33" s="208"/>
      <c r="D33" s="206">
        <f>'[5]BC LCTT'!$D$33</f>
        <v>-279435000</v>
      </c>
      <c r="E33" s="206">
        <v>-425728488</v>
      </c>
    </row>
    <row r="34" spans="1:6" ht="17.25" customHeight="1">
      <c r="A34" s="15" t="s">
        <v>504</v>
      </c>
      <c r="B34" s="15" t="s">
        <v>301</v>
      </c>
      <c r="C34" s="209"/>
      <c r="D34" s="14">
        <f>SUM(D28:D33)</f>
        <v>-33173448021</v>
      </c>
      <c r="E34" s="14">
        <f>SUM(E28:E33)</f>
        <v>15872660005</v>
      </c>
      <c r="F34" s="214">
        <f>E34-15186380324</f>
        <v>686279681</v>
      </c>
    </row>
    <row r="35" spans="1:5" ht="17.25" customHeight="1">
      <c r="A35" s="15" t="s">
        <v>505</v>
      </c>
      <c r="B35" s="15" t="s">
        <v>305</v>
      </c>
      <c r="C35" s="209"/>
      <c r="D35" s="14">
        <f>D17+D26+D34</f>
        <v>-6756336875</v>
      </c>
      <c r="E35" s="14">
        <f>E17+E26+E34</f>
        <v>1746268990</v>
      </c>
    </row>
    <row r="36" spans="1:5" ht="17.25" customHeight="1">
      <c r="A36" s="8" t="s">
        <v>506</v>
      </c>
      <c r="B36" s="8" t="s">
        <v>312</v>
      </c>
      <c r="C36" s="208"/>
      <c r="D36" s="12">
        <v>10399122201</v>
      </c>
      <c r="E36" s="12"/>
    </row>
    <row r="37" spans="1:5" ht="17.25" customHeight="1">
      <c r="A37" s="8" t="s">
        <v>507</v>
      </c>
      <c r="B37" s="8" t="s">
        <v>314</v>
      </c>
      <c r="C37" s="208"/>
      <c r="D37" s="102">
        <v>0</v>
      </c>
      <c r="E37" s="102"/>
    </row>
    <row r="38" spans="1:6" ht="17.25" customHeight="1">
      <c r="A38" s="15" t="s">
        <v>508</v>
      </c>
      <c r="B38" s="15" t="s">
        <v>318</v>
      </c>
      <c r="C38" s="15"/>
      <c r="D38" s="10">
        <f>D35+D36+D37</f>
        <v>3642785326</v>
      </c>
      <c r="E38" s="10">
        <f>E35+E36+E37</f>
        <v>1746268990</v>
      </c>
      <c r="F38" s="214">
        <f>D38-3642785326</f>
        <v>0</v>
      </c>
    </row>
    <row r="40" spans="4:5" ht="12.75">
      <c r="D40" s="373" t="s">
        <v>572</v>
      </c>
      <c r="E40" s="373"/>
    </row>
    <row r="41" spans="1:5" ht="12.75">
      <c r="A41" s="18" t="s">
        <v>259</v>
      </c>
      <c r="B41" s="19" t="s">
        <v>261</v>
      </c>
      <c r="D41" s="369" t="s">
        <v>319</v>
      </c>
      <c r="E41" s="369"/>
    </row>
    <row r="44" ht="12">
      <c r="E44" s="214"/>
    </row>
    <row r="45" ht="12">
      <c r="E45" s="214"/>
    </row>
    <row r="47" spans="1:5" ht="12.75">
      <c r="A47" s="20" t="s">
        <v>260</v>
      </c>
      <c r="B47" s="21" t="s">
        <v>262</v>
      </c>
      <c r="D47" s="370" t="s">
        <v>320</v>
      </c>
      <c r="E47" s="370"/>
    </row>
  </sheetData>
  <mergeCells count="7">
    <mergeCell ref="C1:E1"/>
    <mergeCell ref="C2:E2"/>
    <mergeCell ref="D41:E41"/>
    <mergeCell ref="D47:E47"/>
    <mergeCell ref="A4:E4"/>
    <mergeCell ref="A5:E5"/>
    <mergeCell ref="D40:E40"/>
  </mergeCells>
  <printOptions/>
  <pageMargins left="0.38" right="0.26" top="0.54" bottom="1" header="0.4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0"/>
  <sheetViews>
    <sheetView tabSelected="1" workbookViewId="0" topLeftCell="A302">
      <selection activeCell="E310" sqref="E310"/>
    </sheetView>
  </sheetViews>
  <sheetFormatPr defaultColWidth="9.140625" defaultRowHeight="12"/>
  <cols>
    <col min="1" max="1" width="6.28125" style="42" customWidth="1"/>
    <col min="2" max="2" width="0.2890625" style="43" customWidth="1"/>
    <col min="3" max="3" width="25.7109375" style="24" customWidth="1"/>
    <col min="4" max="4" width="0.71875" style="24" customWidth="1"/>
    <col min="5" max="5" width="15.7109375" style="24" customWidth="1"/>
    <col min="6" max="6" width="0.71875" style="24" hidden="1" customWidth="1"/>
    <col min="7" max="7" width="15.57421875" style="24" customWidth="1"/>
    <col min="8" max="8" width="0.85546875" style="24" customWidth="1"/>
    <col min="9" max="9" width="17.140625" style="34" customWidth="1"/>
    <col min="10" max="10" width="1.7109375" style="24" customWidth="1"/>
    <col min="11" max="11" width="17.7109375" style="40" customWidth="1"/>
    <col min="12" max="12" width="18.421875" style="5" customWidth="1"/>
    <col min="13" max="13" width="18.57421875" style="5" customWidth="1"/>
    <col min="14" max="44" width="14.140625" style="5" customWidth="1"/>
    <col min="45" max="16384" width="28.00390625" style="5" customWidth="1"/>
  </cols>
  <sheetData>
    <row r="1" spans="1:11" ht="16.5">
      <c r="A1" s="22" t="s">
        <v>321</v>
      </c>
      <c r="B1" s="23"/>
      <c r="I1" s="367" t="s">
        <v>322</v>
      </c>
      <c r="J1" s="367"/>
      <c r="K1" s="367"/>
    </row>
    <row r="2" spans="1:11" ht="15">
      <c r="A2" s="25" t="s">
        <v>323</v>
      </c>
      <c r="B2" s="25"/>
      <c r="I2" s="368" t="s">
        <v>568</v>
      </c>
      <c r="J2" s="368"/>
      <c r="K2" s="368"/>
    </row>
    <row r="3" spans="1:14" ht="15">
      <c r="A3" s="26" t="s">
        <v>324</v>
      </c>
      <c r="B3" s="24"/>
      <c r="H3" s="27"/>
      <c r="I3" s="387" t="s">
        <v>565</v>
      </c>
      <c r="J3" s="387"/>
      <c r="K3" s="387"/>
      <c r="L3" s="361" t="s">
        <v>325</v>
      </c>
      <c r="M3" s="361"/>
      <c r="N3" s="361"/>
    </row>
    <row r="4" spans="1:11" ht="15">
      <c r="A4" s="28"/>
      <c r="B4" s="29"/>
      <c r="C4" s="30"/>
      <c r="D4" s="30"/>
      <c r="E4" s="30"/>
      <c r="F4" s="30"/>
      <c r="G4" s="30"/>
      <c r="H4" s="30"/>
      <c r="I4" s="31"/>
      <c r="J4" s="30"/>
      <c r="K4" s="32"/>
    </row>
    <row r="5" spans="1:11" ht="16.5">
      <c r="A5" s="33"/>
      <c r="B5" s="23"/>
      <c r="K5" s="35"/>
    </row>
    <row r="6" spans="1:10" ht="15">
      <c r="A6" s="36"/>
      <c r="B6" s="37"/>
      <c r="C6" s="38"/>
      <c r="D6" s="38"/>
      <c r="E6" s="38"/>
      <c r="F6" s="38"/>
      <c r="G6" s="38"/>
      <c r="H6" s="38"/>
      <c r="I6" s="39"/>
      <c r="J6" s="38"/>
    </row>
    <row r="7" spans="1:11" ht="16.5">
      <c r="A7" s="388" t="s">
        <v>514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9" spans="3:11" ht="15">
      <c r="C9" s="44" t="s">
        <v>326</v>
      </c>
      <c r="D9" s="45"/>
      <c r="E9" s="45"/>
      <c r="F9" s="45"/>
      <c r="G9" s="45"/>
      <c r="H9" s="45"/>
      <c r="I9" s="46"/>
      <c r="J9" s="45"/>
      <c r="K9" s="47"/>
    </row>
    <row r="10" spans="3:11" ht="15">
      <c r="C10" s="48"/>
      <c r="D10" s="45"/>
      <c r="E10" s="45"/>
      <c r="F10" s="45"/>
      <c r="G10" s="45"/>
      <c r="H10" s="45"/>
      <c r="I10" s="46"/>
      <c r="J10" s="45"/>
      <c r="K10" s="47"/>
    </row>
    <row r="11" spans="1:11" ht="15">
      <c r="A11" s="49" t="s">
        <v>327</v>
      </c>
      <c r="C11" s="44" t="s">
        <v>328</v>
      </c>
      <c r="D11" s="45"/>
      <c r="E11" s="45"/>
      <c r="F11" s="45"/>
      <c r="G11" s="45"/>
      <c r="H11" s="45"/>
      <c r="I11" s="50" t="s">
        <v>573</v>
      </c>
      <c r="J11" s="51"/>
      <c r="K11" s="50" t="s">
        <v>563</v>
      </c>
    </row>
    <row r="12" spans="3:11" ht="15">
      <c r="C12" s="44" t="s">
        <v>329</v>
      </c>
      <c r="G12" s="45"/>
      <c r="H12" s="45"/>
      <c r="I12" s="52" t="s">
        <v>330</v>
      </c>
      <c r="J12" s="53"/>
      <c r="K12" s="52" t="s">
        <v>330</v>
      </c>
    </row>
    <row r="13" spans="1:11" ht="14.25">
      <c r="A13" s="54"/>
      <c r="B13" s="24"/>
      <c r="C13" s="55" t="s">
        <v>331</v>
      </c>
      <c r="G13" s="45"/>
      <c r="H13" s="45"/>
      <c r="I13" s="56">
        <f>'[5]TM BCTC'!$I$11+4587167</f>
        <v>1677499411</v>
      </c>
      <c r="J13" s="55"/>
      <c r="K13" s="210">
        <v>273690813</v>
      </c>
    </row>
    <row r="14" spans="1:11" ht="14.25">
      <c r="A14" s="54"/>
      <c r="B14" s="24"/>
      <c r="C14" s="55" t="s">
        <v>332</v>
      </c>
      <c r="G14" s="45"/>
      <c r="H14" s="45"/>
      <c r="I14" s="56">
        <f>'[5]TM BCTC'!$I$12+10483288</f>
        <v>1965285915</v>
      </c>
      <c r="J14" s="57">
        <v>0</v>
      </c>
      <c r="K14" s="56">
        <v>10125431388</v>
      </c>
    </row>
    <row r="15" spans="3:12" ht="15.75" thickBot="1">
      <c r="C15" s="44" t="s">
        <v>333</v>
      </c>
      <c r="G15" s="45"/>
      <c r="H15" s="45"/>
      <c r="I15" s="58">
        <f>I14+I13</f>
        <v>3642785326</v>
      </c>
      <c r="J15" s="59"/>
      <c r="K15" s="58">
        <v>10399122201</v>
      </c>
      <c r="L15" s="215">
        <f>I15-'BẢNG CÂN ĐỐI KẾ TOÁN'!D10</f>
        <v>0</v>
      </c>
    </row>
    <row r="16" spans="3:11" ht="15.75" thickTop="1">
      <c r="C16" s="44"/>
      <c r="G16" s="45"/>
      <c r="H16" s="45"/>
      <c r="I16" s="60"/>
      <c r="J16" s="59"/>
      <c r="K16" s="61"/>
    </row>
    <row r="17" spans="1:11" ht="15">
      <c r="A17" s="49" t="s">
        <v>334</v>
      </c>
      <c r="C17" s="44" t="s">
        <v>335</v>
      </c>
      <c r="G17" s="45"/>
      <c r="H17" s="45"/>
      <c r="I17" s="50" t="s">
        <v>573</v>
      </c>
      <c r="J17" s="51"/>
      <c r="K17" s="50" t="s">
        <v>563</v>
      </c>
    </row>
    <row r="18" spans="3:11" ht="15">
      <c r="C18" s="44" t="s">
        <v>329</v>
      </c>
      <c r="G18" s="45"/>
      <c r="H18" s="45"/>
      <c r="I18" s="52" t="s">
        <v>330</v>
      </c>
      <c r="J18" s="53"/>
      <c r="K18" s="52" t="s">
        <v>330</v>
      </c>
    </row>
    <row r="19" spans="1:11" ht="14.25">
      <c r="A19" s="54"/>
      <c r="B19" s="24"/>
      <c r="C19" s="55" t="s">
        <v>336</v>
      </c>
      <c r="G19" s="45"/>
      <c r="H19" s="45"/>
      <c r="I19" s="76">
        <f>I20+I21</f>
        <v>11297118800</v>
      </c>
      <c r="J19" s="57"/>
      <c r="K19" s="76">
        <v>4078120000</v>
      </c>
    </row>
    <row r="20" spans="1:11" ht="14.25">
      <c r="A20" s="54"/>
      <c r="B20" s="24"/>
      <c r="C20" s="55" t="s">
        <v>0</v>
      </c>
      <c r="G20" s="45"/>
      <c r="H20" s="45"/>
      <c r="I20" s="76">
        <f>'[5]TM BCTC'!$I$17</f>
        <v>9797118800</v>
      </c>
      <c r="J20" s="57"/>
      <c r="K20" s="76">
        <v>12022845989</v>
      </c>
    </row>
    <row r="21" spans="1:11" ht="14.25">
      <c r="A21" s="54"/>
      <c r="B21" s="24"/>
      <c r="C21" s="55" t="s">
        <v>580</v>
      </c>
      <c r="G21" s="45"/>
      <c r="H21" s="45"/>
      <c r="I21" s="76">
        <v>1500000000</v>
      </c>
      <c r="J21" s="57"/>
      <c r="K21" s="76"/>
    </row>
    <row r="22" spans="1:11" ht="15">
      <c r="A22" s="54"/>
      <c r="B22" s="24"/>
      <c r="C22" s="55" t="s">
        <v>337</v>
      </c>
      <c r="G22" s="45"/>
      <c r="H22" s="45"/>
      <c r="I22" s="76">
        <f>'[5]TM BCTC'!$I$19</f>
        <v>-6182818777</v>
      </c>
      <c r="J22" s="62" t="e">
        <v>#REF!</v>
      </c>
      <c r="K22" s="62">
        <v>-7944725989</v>
      </c>
    </row>
    <row r="23" spans="3:13" ht="15.75" thickBot="1">
      <c r="C23" s="44" t="s">
        <v>333</v>
      </c>
      <c r="G23" s="45"/>
      <c r="H23" s="45"/>
      <c r="I23" s="58">
        <f>I19+I22</f>
        <v>5114300023</v>
      </c>
      <c r="J23" s="59"/>
      <c r="K23" s="58">
        <v>4078120000</v>
      </c>
      <c r="L23" s="215">
        <f>I23-'BẢNG CÂN ĐỐI KẾ TOÁN'!D13</f>
        <v>0</v>
      </c>
      <c r="M23" s="215">
        <f>K23-'BẢNG CÂN ĐỐI KẾ TOÁN'!E13</f>
        <v>0</v>
      </c>
    </row>
    <row r="24" spans="3:11" ht="15.75" thickTop="1">
      <c r="C24" s="64"/>
      <c r="G24" s="45"/>
      <c r="H24" s="45"/>
      <c r="I24" s="46"/>
      <c r="J24" s="45"/>
      <c r="K24" s="47"/>
    </row>
    <row r="25" spans="1:11" ht="15">
      <c r="A25" s="49" t="s">
        <v>338</v>
      </c>
      <c r="C25" s="44" t="s">
        <v>1</v>
      </c>
      <c r="G25" s="45"/>
      <c r="H25" s="45"/>
      <c r="I25" s="50" t="s">
        <v>573</v>
      </c>
      <c r="J25" s="51"/>
      <c r="K25" s="50" t="s">
        <v>563</v>
      </c>
    </row>
    <row r="26" spans="3:11" ht="15">
      <c r="C26" s="44"/>
      <c r="G26" s="45"/>
      <c r="H26" s="45"/>
      <c r="I26" s="52" t="s">
        <v>330</v>
      </c>
      <c r="J26" s="53"/>
      <c r="K26" s="52" t="s">
        <v>330</v>
      </c>
    </row>
    <row r="27" spans="1:12" ht="14.25">
      <c r="A27" s="54"/>
      <c r="B27" s="24"/>
      <c r="C27" s="55" t="s">
        <v>339</v>
      </c>
      <c r="G27" s="45"/>
      <c r="H27" s="45"/>
      <c r="I27" s="2">
        <f>'[5]TM BCTC'!$I$24+561443095</f>
        <v>44859711465</v>
      </c>
      <c r="J27" s="112"/>
      <c r="K27" s="76">
        <v>28536860503</v>
      </c>
      <c r="L27" s="215">
        <f>I27-'BẢNG CÂN ĐỐI KẾ TOÁN'!D17</f>
        <v>0</v>
      </c>
    </row>
    <row r="28" spans="1:12" ht="14.25">
      <c r="A28" s="54"/>
      <c r="B28" s="24"/>
      <c r="C28" s="55" t="s">
        <v>340</v>
      </c>
      <c r="G28" s="45"/>
      <c r="H28" s="45"/>
      <c r="I28" s="2">
        <f>'[5]TM BCTC'!$I$25+130124000</f>
        <v>2364172917</v>
      </c>
      <c r="J28" s="5"/>
      <c r="K28" s="2">
        <v>2851773386</v>
      </c>
      <c r="L28" s="215">
        <f>I28-'BẢNG CÂN ĐỐI KẾ TOÁN'!D18</f>
        <v>0</v>
      </c>
    </row>
    <row r="29" spans="1:12" s="24" customFormat="1" ht="15.75" thickBot="1">
      <c r="A29" s="42"/>
      <c r="B29" s="43"/>
      <c r="C29" s="44" t="s">
        <v>333</v>
      </c>
      <c r="G29" s="45"/>
      <c r="H29" s="45"/>
      <c r="I29" s="58">
        <f>I28+I27</f>
        <v>47223884382</v>
      </c>
      <c r="J29" s="59"/>
      <c r="K29" s="58">
        <v>31388633889</v>
      </c>
      <c r="L29" s="109"/>
    </row>
    <row r="30" spans="1:11" ht="15.75" thickTop="1">
      <c r="A30" s="49" t="s">
        <v>342</v>
      </c>
      <c r="C30" s="44" t="s">
        <v>341</v>
      </c>
      <c r="G30" s="45"/>
      <c r="H30" s="45"/>
      <c r="I30" s="50">
        <f>I24</f>
        <v>0</v>
      </c>
      <c r="J30" s="51"/>
      <c r="K30" s="50"/>
    </row>
    <row r="31" spans="3:11" ht="15">
      <c r="C31" s="44"/>
      <c r="G31" s="45"/>
      <c r="H31" s="45"/>
      <c r="I31" s="50" t="s">
        <v>573</v>
      </c>
      <c r="J31" s="51"/>
      <c r="K31" s="50" t="s">
        <v>563</v>
      </c>
    </row>
    <row r="32" spans="1:11" ht="14.25">
      <c r="A32" s="54"/>
      <c r="B32" s="24"/>
      <c r="C32" s="55" t="s">
        <v>341</v>
      </c>
      <c r="G32" s="45"/>
      <c r="H32" s="45"/>
      <c r="I32" s="76">
        <f>'[5]TM BCTC'!$I$29-534724491</f>
        <v>838651838</v>
      </c>
      <c r="J32" s="5"/>
      <c r="K32" s="2">
        <v>1073126956</v>
      </c>
    </row>
    <row r="33" spans="3:12" ht="15.75" thickBot="1">
      <c r="C33" s="44" t="s">
        <v>333</v>
      </c>
      <c r="G33" s="45"/>
      <c r="H33" s="45"/>
      <c r="I33" s="58">
        <f>I32</f>
        <v>838651838</v>
      </c>
      <c r="J33" s="59"/>
      <c r="K33" s="58">
        <f>K32</f>
        <v>1073126956</v>
      </c>
      <c r="L33" s="215">
        <f>I33-'BẢNG CÂN ĐỐI KẾ TOÁN'!D21</f>
        <v>0</v>
      </c>
    </row>
    <row r="34" spans="3:11" ht="15.75" thickTop="1">
      <c r="C34" s="44"/>
      <c r="G34" s="45"/>
      <c r="H34" s="45"/>
      <c r="I34" s="61"/>
      <c r="J34" s="59"/>
      <c r="K34" s="61"/>
    </row>
    <row r="35" spans="1:11" ht="15">
      <c r="A35" s="49" t="s">
        <v>2</v>
      </c>
      <c r="C35" s="44" t="s">
        <v>343</v>
      </c>
      <c r="G35" s="45"/>
      <c r="H35" s="45"/>
      <c r="I35" s="50" t="s">
        <v>573</v>
      </c>
      <c r="J35" s="51"/>
      <c r="K35" s="50" t="s">
        <v>563</v>
      </c>
    </row>
    <row r="36" spans="3:11" ht="15">
      <c r="C36" s="44" t="s">
        <v>329</v>
      </c>
      <c r="G36" s="45"/>
      <c r="H36" s="45"/>
      <c r="I36" s="52" t="s">
        <v>330</v>
      </c>
      <c r="J36" s="53"/>
      <c r="K36" s="52" t="s">
        <v>330</v>
      </c>
    </row>
    <row r="37" spans="1:11" ht="14.25">
      <c r="A37" s="54"/>
      <c r="B37" s="24"/>
      <c r="C37" s="55" t="s">
        <v>344</v>
      </c>
      <c r="G37" s="45"/>
      <c r="H37" s="45"/>
      <c r="I37" s="76">
        <f>'[5]TM BCTC'!$I$35</f>
        <v>5548632568</v>
      </c>
      <c r="J37" s="57">
        <v>0</v>
      </c>
      <c r="K37" s="56">
        <v>8197169239</v>
      </c>
    </row>
    <row r="38" spans="1:11" ht="15">
      <c r="A38" s="54"/>
      <c r="B38" s="77"/>
      <c r="C38" s="78" t="s">
        <v>345</v>
      </c>
      <c r="D38" s="79"/>
      <c r="E38" s="79"/>
      <c r="F38" s="79"/>
      <c r="G38" s="79"/>
      <c r="H38" s="79"/>
      <c r="I38" s="76"/>
      <c r="J38" s="114"/>
      <c r="K38" s="56">
        <v>8371000</v>
      </c>
    </row>
    <row r="39" spans="1:12" s="24" customFormat="1" ht="14.25">
      <c r="A39" s="54"/>
      <c r="C39" s="55" t="s">
        <v>346</v>
      </c>
      <c r="G39" s="45"/>
      <c r="H39" s="45"/>
      <c r="I39" s="76">
        <f>'[5]TM BCTC'!$I$37+1081657492</f>
        <v>48816957932</v>
      </c>
      <c r="J39" s="57">
        <v>0</v>
      </c>
      <c r="K39" s="56">
        <v>59412339443</v>
      </c>
      <c r="L39" s="109"/>
    </row>
    <row r="40" spans="1:12" s="24" customFormat="1" ht="15">
      <c r="A40" s="42"/>
      <c r="B40" s="43"/>
      <c r="C40" s="44" t="s">
        <v>347</v>
      </c>
      <c r="G40" s="45"/>
      <c r="H40" s="45"/>
      <c r="I40" s="61">
        <f>I37+I39</f>
        <v>54365590500</v>
      </c>
      <c r="J40" s="75"/>
      <c r="K40" s="61">
        <v>67617879682</v>
      </c>
      <c r="L40" s="109">
        <f>I40-'BẢNG CÂN ĐỐI KẾ TOÁN'!D23</f>
        <v>0</v>
      </c>
    </row>
    <row r="41" spans="1:11" s="24" customFormat="1" ht="15">
      <c r="A41" s="42"/>
      <c r="B41" s="43"/>
      <c r="C41" s="44" t="s">
        <v>348</v>
      </c>
      <c r="G41" s="45"/>
      <c r="H41" s="45"/>
      <c r="I41" s="61"/>
      <c r="J41" s="75"/>
      <c r="K41" s="61"/>
    </row>
    <row r="42" spans="1:12" s="24" customFormat="1" ht="15.75" thickBot="1">
      <c r="A42" s="42"/>
      <c r="B42" s="43"/>
      <c r="C42" s="44" t="s">
        <v>349</v>
      </c>
      <c r="G42" s="45"/>
      <c r="H42" s="45"/>
      <c r="I42" s="58">
        <f>I40</f>
        <v>54365590500</v>
      </c>
      <c r="J42" s="59"/>
      <c r="K42" s="58">
        <v>67617879682</v>
      </c>
      <c r="L42" s="109">
        <f>I42-'BẢNG CÂN ĐỐI KẾ TOÁN'!D23</f>
        <v>0</v>
      </c>
    </row>
    <row r="43" spans="1:11" s="24" customFormat="1" ht="15.75" thickTop="1">
      <c r="A43" s="42"/>
      <c r="B43" s="43"/>
      <c r="C43" s="44"/>
      <c r="G43" s="45"/>
      <c r="H43" s="45"/>
      <c r="I43" s="61"/>
      <c r="J43" s="59"/>
      <c r="K43" s="61"/>
    </row>
    <row r="44" spans="1:11" s="24" customFormat="1" ht="15">
      <c r="A44" s="49">
        <v>6</v>
      </c>
      <c r="B44" s="43"/>
      <c r="C44" s="44" t="s">
        <v>352</v>
      </c>
      <c r="G44" s="45"/>
      <c r="H44" s="45"/>
      <c r="I44" s="50" t="s">
        <v>573</v>
      </c>
      <c r="J44" s="51"/>
      <c r="K44" s="50" t="s">
        <v>563</v>
      </c>
    </row>
    <row r="45" spans="1:11" s="24" customFormat="1" ht="15">
      <c r="A45" s="42"/>
      <c r="B45" s="43"/>
      <c r="C45" s="44"/>
      <c r="G45" s="41"/>
      <c r="H45" s="45"/>
      <c r="I45" s="52" t="s">
        <v>330</v>
      </c>
      <c r="J45" s="53"/>
      <c r="K45" s="52" t="s">
        <v>330</v>
      </c>
    </row>
    <row r="46" spans="1:12" s="24" customFormat="1" ht="14.25">
      <c r="A46" s="191"/>
      <c r="C46" s="55" t="s">
        <v>351</v>
      </c>
      <c r="G46" s="45"/>
      <c r="H46" s="45"/>
      <c r="I46" s="2">
        <f>'[5]TM BCTC'!$I$45+126574865</f>
        <v>2120443693</v>
      </c>
      <c r="J46" s="114"/>
      <c r="K46" s="254">
        <v>1707207896</v>
      </c>
      <c r="L46" s="109">
        <f>I46-'BẢNG CÂN ĐỐI KẾ TOÁN'!D28</f>
        <v>0</v>
      </c>
    </row>
    <row r="47" spans="1:12" s="24" customFormat="1" ht="14.25">
      <c r="A47" s="191"/>
      <c r="C47" s="55" t="s">
        <v>352</v>
      </c>
      <c r="G47" s="45"/>
      <c r="H47" s="45"/>
      <c r="I47" s="76">
        <f>'[5]TM BCTC'!$I$46</f>
        <v>121634402</v>
      </c>
      <c r="J47" s="114"/>
      <c r="K47" s="254">
        <v>1742992772</v>
      </c>
      <c r="L47" s="109">
        <f>I47-'BẢNG CÂN ĐỐI KẾ TOÁN'!D29</f>
        <v>0</v>
      </c>
    </row>
    <row r="48" spans="1:12" s="24" customFormat="1" ht="15.75" thickBot="1">
      <c r="A48" s="42"/>
      <c r="B48" s="43"/>
      <c r="C48" s="44" t="s">
        <v>333</v>
      </c>
      <c r="G48" s="45"/>
      <c r="H48" s="45"/>
      <c r="I48" s="58">
        <f>I47+I46</f>
        <v>2242078095</v>
      </c>
      <c r="J48" s="59"/>
      <c r="K48" s="58">
        <v>3450200668</v>
      </c>
      <c r="L48" s="109"/>
    </row>
    <row r="49" spans="1:11" s="24" customFormat="1" ht="15.75" thickTop="1">
      <c r="A49" s="42"/>
      <c r="B49" s="43"/>
      <c r="C49" s="44"/>
      <c r="G49" s="45"/>
      <c r="H49" s="45"/>
      <c r="I49" s="61"/>
      <c r="J49" s="59"/>
      <c r="K49" s="61"/>
    </row>
    <row r="50" spans="1:11" s="24" customFormat="1" ht="15">
      <c r="A50" s="49">
        <v>7</v>
      </c>
      <c r="B50" s="43"/>
      <c r="C50" s="44" t="s">
        <v>350</v>
      </c>
      <c r="G50" s="45"/>
      <c r="H50" s="45"/>
      <c r="I50" s="50" t="s">
        <v>573</v>
      </c>
      <c r="J50" s="51"/>
      <c r="K50" s="50" t="s">
        <v>563</v>
      </c>
    </row>
    <row r="51" spans="1:11" s="24" customFormat="1" ht="15">
      <c r="A51" s="42"/>
      <c r="B51" s="43"/>
      <c r="C51" s="44"/>
      <c r="G51" s="41"/>
      <c r="H51" s="45"/>
      <c r="I51" s="52" t="s">
        <v>330</v>
      </c>
      <c r="J51" s="53"/>
      <c r="K51" s="52" t="s">
        <v>330</v>
      </c>
    </row>
    <row r="52" spans="1:11" ht="14.25">
      <c r="A52" s="54"/>
      <c r="B52" s="24"/>
      <c r="C52" s="55" t="s">
        <v>353</v>
      </c>
      <c r="G52" s="5"/>
      <c r="H52" s="5"/>
      <c r="I52" s="254">
        <f>'[5]TM BCTC'!$I$47+2638455731</f>
        <v>22431953352</v>
      </c>
      <c r="J52" s="255"/>
      <c r="K52" s="254">
        <v>23453417111</v>
      </c>
    </row>
    <row r="53" spans="1:12" s="24" customFormat="1" ht="14.25">
      <c r="A53" s="191"/>
      <c r="C53" s="55" t="s">
        <v>354</v>
      </c>
      <c r="G53" s="45"/>
      <c r="H53" s="45"/>
      <c r="I53" s="254">
        <f>'[5]TM BCTC'!$I$48</f>
        <v>1014000000</v>
      </c>
      <c r="J53" s="56"/>
      <c r="K53" s="254">
        <v>1254000000</v>
      </c>
      <c r="L53" s="109"/>
    </row>
    <row r="54" spans="1:13" s="24" customFormat="1" ht="15.75" thickBot="1">
      <c r="A54" s="42"/>
      <c r="B54" s="43"/>
      <c r="C54" s="44" t="s">
        <v>333</v>
      </c>
      <c r="G54" s="45"/>
      <c r="H54" s="45"/>
      <c r="I54" s="58">
        <f>I53+I52</f>
        <v>23445953352</v>
      </c>
      <c r="J54" s="59"/>
      <c r="K54" s="58">
        <v>24707417111</v>
      </c>
      <c r="L54" s="109">
        <f>I54-'BẢNG CÂN ĐỐI KẾ TOÁN'!D30</f>
        <v>0</v>
      </c>
      <c r="M54" s="314"/>
    </row>
    <row r="55" spans="1:11" ht="15.75" thickTop="1">
      <c r="A55" s="42">
        <v>8</v>
      </c>
      <c r="C55" s="383" t="s">
        <v>355</v>
      </c>
      <c r="D55" s="383"/>
      <c r="E55" s="383"/>
      <c r="G55" s="45"/>
      <c r="H55" s="45"/>
      <c r="I55" s="46"/>
      <c r="J55" s="45"/>
      <c r="K55" s="47"/>
    </row>
    <row r="56" spans="3:11" ht="15">
      <c r="C56" s="44" t="s">
        <v>329</v>
      </c>
      <c r="D56" s="42"/>
      <c r="E56" s="42"/>
      <c r="G56" s="45"/>
      <c r="H56" s="45"/>
      <c r="I56" s="46"/>
      <c r="J56" s="45"/>
      <c r="K56" s="47"/>
    </row>
    <row r="57" spans="1:11" ht="24" customHeight="1">
      <c r="A57" s="54"/>
      <c r="B57" s="24"/>
      <c r="C57" s="82" t="s">
        <v>356</v>
      </c>
      <c r="E57" s="82" t="s">
        <v>357</v>
      </c>
      <c r="F57" s="83"/>
      <c r="G57" s="82" t="s">
        <v>358</v>
      </c>
      <c r="H57" s="45"/>
      <c r="I57" s="82" t="s">
        <v>359</v>
      </c>
      <c r="J57" s="45"/>
      <c r="K57" s="84" t="s">
        <v>333</v>
      </c>
    </row>
    <row r="58" spans="1:11" s="25" customFormat="1" ht="15">
      <c r="A58" s="42"/>
      <c r="B58" s="43"/>
      <c r="C58" s="48" t="s">
        <v>360</v>
      </c>
      <c r="D58" s="43"/>
      <c r="E58" s="111">
        <f>E59</f>
        <v>36264004261</v>
      </c>
      <c r="F58" s="89"/>
      <c r="G58" s="111">
        <f>G59</f>
        <v>38085502701</v>
      </c>
      <c r="H58" s="111">
        <f>H59</f>
        <v>0</v>
      </c>
      <c r="I58" s="111">
        <f>I59</f>
        <v>1066885666</v>
      </c>
      <c r="J58" s="90"/>
      <c r="K58" s="91">
        <f>SUM(E58:I58)</f>
        <v>75416392628</v>
      </c>
    </row>
    <row r="59" spans="1:11" ht="15">
      <c r="A59" s="69"/>
      <c r="C59" s="85" t="s">
        <v>526</v>
      </c>
      <c r="D59" s="86"/>
      <c r="E59" s="92">
        <v>36264004261</v>
      </c>
      <c r="F59" s="86"/>
      <c r="G59" s="92">
        <v>38085502701</v>
      </c>
      <c r="H59" s="92"/>
      <c r="I59" s="92">
        <v>1066885666</v>
      </c>
      <c r="J59" s="92"/>
      <c r="K59" s="111">
        <f>SUM(E59:I59)</f>
        <v>75416392628</v>
      </c>
    </row>
    <row r="60" spans="1:11" s="25" customFormat="1" ht="15">
      <c r="A60" s="6"/>
      <c r="B60" s="43"/>
      <c r="C60" s="88" t="s">
        <v>361</v>
      </c>
      <c r="D60" s="89"/>
      <c r="E60" s="111">
        <f>SUM(E61:E63)</f>
        <v>0</v>
      </c>
      <c r="F60" s="111">
        <f aca="true" t="shared" si="0" ref="F60:K60">SUM(F61:F63)</f>
        <v>0</v>
      </c>
      <c r="G60" s="111">
        <f t="shared" si="0"/>
        <v>23636364</v>
      </c>
      <c r="H60" s="111">
        <f t="shared" si="0"/>
        <v>0</v>
      </c>
      <c r="I60" s="111">
        <f t="shared" si="0"/>
        <v>82072727</v>
      </c>
      <c r="J60" s="111">
        <f t="shared" si="0"/>
        <v>0</v>
      </c>
      <c r="K60" s="111">
        <f t="shared" si="0"/>
        <v>105709091</v>
      </c>
    </row>
    <row r="61" spans="1:11" ht="15">
      <c r="A61" s="69"/>
      <c r="C61" s="85" t="s">
        <v>3</v>
      </c>
      <c r="D61" s="86"/>
      <c r="E61" s="92"/>
      <c r="F61" s="86"/>
      <c r="G61" s="92">
        <f>'[2]TM BCTC'!$G$59</f>
        <v>23636364</v>
      </c>
      <c r="H61" s="92"/>
      <c r="I61" s="389">
        <f>63436363+18636364</f>
        <v>82072727</v>
      </c>
      <c r="J61" s="92"/>
      <c r="K61" s="92">
        <f>SUM(E61:I61)</f>
        <v>105709091</v>
      </c>
    </row>
    <row r="62" spans="1:11" ht="15">
      <c r="A62" s="69"/>
      <c r="C62" s="85" t="s">
        <v>4</v>
      </c>
      <c r="D62" s="86"/>
      <c r="E62" s="92"/>
      <c r="F62" s="86"/>
      <c r="G62" s="92"/>
      <c r="H62" s="92"/>
      <c r="I62" s="92"/>
      <c r="J62" s="92"/>
      <c r="K62" s="92">
        <f aca="true" t="shared" si="1" ref="K62:K68">SUM(E62:I62)</f>
        <v>0</v>
      </c>
    </row>
    <row r="63" spans="1:11" ht="15">
      <c r="A63" s="69"/>
      <c r="C63" s="85" t="s">
        <v>5</v>
      </c>
      <c r="D63" s="86"/>
      <c r="E63" s="92"/>
      <c r="F63" s="86"/>
      <c r="G63" s="92"/>
      <c r="H63" s="92"/>
      <c r="I63" s="92"/>
      <c r="J63" s="92"/>
      <c r="K63" s="92">
        <f t="shared" si="1"/>
        <v>0</v>
      </c>
    </row>
    <row r="64" spans="1:11" s="25" customFormat="1" ht="15">
      <c r="A64" s="6"/>
      <c r="B64" s="43"/>
      <c r="C64" s="95" t="s">
        <v>362</v>
      </c>
      <c r="D64" s="95"/>
      <c r="E64" s="256">
        <f>SUM(E65:E67)</f>
        <v>0</v>
      </c>
      <c r="F64" s="256">
        <f aca="true" t="shared" si="2" ref="F64:K64">SUM(F65:F67)</f>
        <v>0</v>
      </c>
      <c r="G64" s="256">
        <f t="shared" si="2"/>
        <v>1321621501</v>
      </c>
      <c r="H64" s="256">
        <f t="shared" si="2"/>
        <v>0</v>
      </c>
      <c r="I64" s="256">
        <f t="shared" si="2"/>
        <v>0</v>
      </c>
      <c r="J64" s="256">
        <f t="shared" si="2"/>
        <v>0</v>
      </c>
      <c r="K64" s="256">
        <f t="shared" si="2"/>
        <v>1321621501</v>
      </c>
    </row>
    <row r="65" spans="1:11" ht="15">
      <c r="A65" s="69"/>
      <c r="C65" s="87" t="s">
        <v>6</v>
      </c>
      <c r="D65" s="87"/>
      <c r="E65" s="110"/>
      <c r="F65" s="86"/>
      <c r="G65" s="72">
        <f>576470480+754151021-9000000</f>
        <v>1321621501</v>
      </c>
      <c r="H65" s="110"/>
      <c r="I65" s="110"/>
      <c r="J65" s="110"/>
      <c r="K65" s="92">
        <f t="shared" si="1"/>
        <v>1321621501</v>
      </c>
    </row>
    <row r="66" spans="1:11" ht="15">
      <c r="A66" s="69"/>
      <c r="C66" s="85" t="s">
        <v>4</v>
      </c>
      <c r="D66" s="87"/>
      <c r="E66" s="110"/>
      <c r="F66" s="86"/>
      <c r="G66" s="110"/>
      <c r="H66" s="110"/>
      <c r="I66" s="110"/>
      <c r="J66" s="110"/>
      <c r="K66" s="92">
        <f t="shared" si="1"/>
        <v>0</v>
      </c>
    </row>
    <row r="67" spans="1:11" ht="15">
      <c r="A67" s="69"/>
      <c r="C67" s="85" t="s">
        <v>7</v>
      </c>
      <c r="D67" s="87"/>
      <c r="E67" s="110"/>
      <c r="F67" s="86"/>
      <c r="G67" s="110"/>
      <c r="H67" s="110"/>
      <c r="I67" s="110"/>
      <c r="J67" s="110"/>
      <c r="K67" s="92">
        <f t="shared" si="1"/>
        <v>0</v>
      </c>
    </row>
    <row r="68" spans="1:11" s="25" customFormat="1" ht="15">
      <c r="A68" s="42"/>
      <c r="B68" s="43"/>
      <c r="C68" s="88" t="s">
        <v>528</v>
      </c>
      <c r="D68" s="89"/>
      <c r="E68" s="111">
        <f>E58+E60-E64</f>
        <v>36264004261</v>
      </c>
      <c r="F68" s="89"/>
      <c r="G68" s="111">
        <f>G58+G60-G64</f>
        <v>36787517564</v>
      </c>
      <c r="H68" s="111">
        <f>H58+H60-H64</f>
        <v>0</v>
      </c>
      <c r="I68" s="111">
        <f>I58+I60-I64</f>
        <v>1148958393</v>
      </c>
      <c r="J68" s="111">
        <v>0</v>
      </c>
      <c r="K68" s="111">
        <f t="shared" si="1"/>
        <v>74200480218</v>
      </c>
    </row>
    <row r="69" spans="1:11" s="25" customFormat="1" ht="15">
      <c r="A69" s="42"/>
      <c r="B69" s="43"/>
      <c r="C69" s="88" t="s">
        <v>363</v>
      </c>
      <c r="D69" s="89"/>
      <c r="E69" s="111">
        <f>E70</f>
        <v>24478656919</v>
      </c>
      <c r="F69" s="89"/>
      <c r="G69" s="111">
        <f>G70</f>
        <v>26537938191</v>
      </c>
      <c r="H69" s="111">
        <f>H70</f>
        <v>0</v>
      </c>
      <c r="I69" s="111">
        <f>I70</f>
        <v>895677096</v>
      </c>
      <c r="J69" s="90"/>
      <c r="K69" s="91">
        <f>SUM(E69:I69)</f>
        <v>51912272206</v>
      </c>
    </row>
    <row r="70" spans="1:11" ht="15">
      <c r="A70" s="54"/>
      <c r="C70" s="85" t="s">
        <v>526</v>
      </c>
      <c r="D70" s="86"/>
      <c r="E70" s="92">
        <v>24478656919</v>
      </c>
      <c r="F70" s="86"/>
      <c r="G70" s="92">
        <v>26537938191</v>
      </c>
      <c r="H70" s="92"/>
      <c r="I70" s="92">
        <v>895677096</v>
      </c>
      <c r="J70" s="92"/>
      <c r="K70" s="92">
        <f>SUM(E70:I70)</f>
        <v>51912272206</v>
      </c>
    </row>
    <row r="71" spans="1:11" s="25" customFormat="1" ht="15">
      <c r="A71" s="42"/>
      <c r="B71" s="43"/>
      <c r="C71" s="88" t="s">
        <v>361</v>
      </c>
      <c r="D71" s="89"/>
      <c r="E71" s="111">
        <f>SUM(E72:E73)</f>
        <v>2209431651</v>
      </c>
      <c r="F71" s="111">
        <f aca="true" t="shared" si="3" ref="F71:K71">SUM(F72:F73)</f>
        <v>0</v>
      </c>
      <c r="G71" s="111">
        <f t="shared" si="3"/>
        <v>2345308587</v>
      </c>
      <c r="H71" s="111">
        <f t="shared" si="3"/>
        <v>0</v>
      </c>
      <c r="I71" s="111">
        <f t="shared" si="3"/>
        <v>57429398</v>
      </c>
      <c r="J71" s="111">
        <f t="shared" si="3"/>
        <v>0</v>
      </c>
      <c r="K71" s="111">
        <f t="shared" si="3"/>
        <v>4612169636</v>
      </c>
    </row>
    <row r="72" spans="1:11" ht="15">
      <c r="A72" s="54"/>
      <c r="C72" s="85" t="s">
        <v>8</v>
      </c>
      <c r="D72" s="86"/>
      <c r="E72" s="92">
        <f>'[5]TM BCTC'!$E$64:$E$64</f>
        <v>2209431651</v>
      </c>
      <c r="F72" s="86"/>
      <c r="G72" s="92">
        <f>'[5]TM BCTC'!$G$64+7553403</f>
        <v>2345308587</v>
      </c>
      <c r="H72" s="92"/>
      <c r="I72" s="92">
        <f>'[5]TM BCTC'!$I$64</f>
        <v>57429398</v>
      </c>
      <c r="J72" s="92"/>
      <c r="K72" s="92">
        <f aca="true" t="shared" si="4" ref="K72:K77">SUM(E72:I72)</f>
        <v>4612169636</v>
      </c>
    </row>
    <row r="73" spans="1:11" ht="15">
      <c r="A73" s="54"/>
      <c r="C73" s="85" t="s">
        <v>5</v>
      </c>
      <c r="D73" s="86"/>
      <c r="E73" s="92"/>
      <c r="F73" s="86"/>
      <c r="G73" s="92"/>
      <c r="H73" s="92"/>
      <c r="I73" s="92"/>
      <c r="J73" s="92"/>
      <c r="K73" s="92">
        <f t="shared" si="4"/>
        <v>0</v>
      </c>
    </row>
    <row r="74" spans="1:11" s="25" customFormat="1" ht="15">
      <c r="A74" s="42"/>
      <c r="B74" s="43"/>
      <c r="C74" s="95" t="s">
        <v>362</v>
      </c>
      <c r="D74" s="95"/>
      <c r="E74" s="256"/>
      <c r="F74" s="89"/>
      <c r="G74" s="256">
        <f>'[5]TM BCTC'!$G$65</f>
        <v>1221888281</v>
      </c>
      <c r="H74" s="256"/>
      <c r="I74" s="256"/>
      <c r="J74" s="256"/>
      <c r="K74" s="111">
        <f t="shared" si="4"/>
        <v>1221888281</v>
      </c>
    </row>
    <row r="75" spans="1:12" ht="15">
      <c r="A75" s="54"/>
      <c r="C75" s="85" t="s">
        <v>576</v>
      </c>
      <c r="D75" s="86"/>
      <c r="E75" s="92">
        <f>E69+E71-E74</f>
        <v>26688088570</v>
      </c>
      <c r="F75" s="86"/>
      <c r="G75" s="92">
        <f>G69+G71-G74</f>
        <v>27661358497</v>
      </c>
      <c r="H75" s="92">
        <f>H69+H71-H74</f>
        <v>0</v>
      </c>
      <c r="I75" s="92">
        <f>I69+I71-I74</f>
        <v>953106494</v>
      </c>
      <c r="J75" s="92"/>
      <c r="K75" s="111">
        <f>E75+G75+I75</f>
        <v>55302553561</v>
      </c>
      <c r="L75" s="355">
        <f>K75+'BẢNG CÂN ĐỐI KẾ TOÁN'!D41</f>
        <v>0</v>
      </c>
    </row>
    <row r="76" spans="1:11" s="96" customFormat="1" ht="12">
      <c r="A76" s="93"/>
      <c r="B76" s="89"/>
      <c r="C76" s="88" t="s">
        <v>364</v>
      </c>
      <c r="D76" s="89"/>
      <c r="E76" s="89"/>
      <c r="F76" s="89"/>
      <c r="G76" s="90"/>
      <c r="H76" s="90"/>
      <c r="I76" s="94"/>
      <c r="J76" s="95"/>
      <c r="K76" s="111">
        <f t="shared" si="4"/>
        <v>0</v>
      </c>
    </row>
    <row r="77" spans="1:13" s="96" customFormat="1" ht="12">
      <c r="A77" s="97"/>
      <c r="B77" s="89"/>
      <c r="C77" s="88" t="s">
        <v>527</v>
      </c>
      <c r="D77" s="89"/>
      <c r="E77" s="111">
        <f>E58-E69</f>
        <v>11785347342</v>
      </c>
      <c r="F77" s="89"/>
      <c r="G77" s="111">
        <f>G58-G69</f>
        <v>11547564510</v>
      </c>
      <c r="H77" s="111">
        <f>H58-H69</f>
        <v>0</v>
      </c>
      <c r="I77" s="111">
        <f>I58-I69</f>
        <v>171208570</v>
      </c>
      <c r="J77" s="111"/>
      <c r="K77" s="111">
        <f t="shared" si="4"/>
        <v>23504120422</v>
      </c>
      <c r="M77" s="356"/>
    </row>
    <row r="78" spans="1:13" s="96" customFormat="1" ht="12">
      <c r="A78" s="93"/>
      <c r="B78" s="89"/>
      <c r="C78" s="88" t="s">
        <v>577</v>
      </c>
      <c r="D78" s="89"/>
      <c r="E78" s="111">
        <f>E68-E75</f>
        <v>9575915691</v>
      </c>
      <c r="F78" s="89"/>
      <c r="G78" s="111">
        <f>G68-G75</f>
        <v>9126159067</v>
      </c>
      <c r="H78" s="111">
        <f>H58-H75</f>
        <v>0</v>
      </c>
      <c r="I78" s="111">
        <f>I68-I75</f>
        <v>195851899</v>
      </c>
      <c r="J78" s="111">
        <f>J60-J71</f>
        <v>0</v>
      </c>
      <c r="K78" s="111">
        <f>K68-K75</f>
        <v>18897926657</v>
      </c>
      <c r="L78" s="356">
        <f>K78-'BẢNG CÂN ĐỐI KẾ TOÁN'!D39</f>
        <v>0</v>
      </c>
      <c r="M78" s="356"/>
    </row>
    <row r="79" spans="1:11" s="24" customFormat="1" ht="15">
      <c r="A79" s="42"/>
      <c r="B79" s="43"/>
      <c r="C79" s="44"/>
      <c r="G79" s="45"/>
      <c r="H79" s="45"/>
      <c r="I79" s="61"/>
      <c r="J79" s="59"/>
      <c r="K79" s="61"/>
    </row>
    <row r="80" spans="1:11" ht="15">
      <c r="A80" s="42">
        <v>9</v>
      </c>
      <c r="C80" s="383" t="s">
        <v>365</v>
      </c>
      <c r="D80" s="383"/>
      <c r="E80" s="383"/>
      <c r="G80" s="45"/>
      <c r="H80" s="45"/>
      <c r="I80" s="46"/>
      <c r="J80" s="45"/>
      <c r="K80" s="47"/>
    </row>
    <row r="81" spans="3:11" ht="15">
      <c r="C81" s="44" t="s">
        <v>329</v>
      </c>
      <c r="G81" s="45"/>
      <c r="H81" s="45"/>
      <c r="I81" s="46"/>
      <c r="J81" s="45"/>
      <c r="K81" s="47"/>
    </row>
    <row r="82" spans="1:11" ht="27.75" customHeight="1">
      <c r="A82" s="54"/>
      <c r="B82" s="24"/>
      <c r="C82" s="98" t="s">
        <v>356</v>
      </c>
      <c r="E82" s="98" t="s">
        <v>366</v>
      </c>
      <c r="F82" s="98"/>
      <c r="G82" s="98" t="s">
        <v>367</v>
      </c>
      <c r="H82" s="45"/>
      <c r="I82" s="98" t="s">
        <v>368</v>
      </c>
      <c r="J82" s="45"/>
      <c r="K82" s="84" t="s">
        <v>333</v>
      </c>
    </row>
    <row r="83" spans="1:11" s="96" customFormat="1" ht="12.75">
      <c r="A83" s="93"/>
      <c r="B83" s="89"/>
      <c r="C83" s="88" t="s">
        <v>360</v>
      </c>
      <c r="D83" s="89"/>
      <c r="E83" s="89"/>
      <c r="F83" s="89"/>
      <c r="G83" s="90"/>
      <c r="H83" s="90"/>
      <c r="I83" s="276">
        <f>I84</f>
        <v>367425000</v>
      </c>
      <c r="J83" s="90"/>
      <c r="K83" s="315">
        <f>SUM(E83:I83)</f>
        <v>367425000</v>
      </c>
    </row>
    <row r="84" spans="1:11" s="244" customFormat="1" ht="12.75">
      <c r="A84" s="262"/>
      <c r="B84" s="258"/>
      <c r="C84" s="263" t="s">
        <v>526</v>
      </c>
      <c r="D84" s="264"/>
      <c r="E84" s="264"/>
      <c r="F84" s="264"/>
      <c r="G84" s="255"/>
      <c r="H84" s="255"/>
      <c r="I84" s="265">
        <v>367425000</v>
      </c>
      <c r="J84" s="255"/>
      <c r="K84" s="265">
        <f>SUM(E84:I84)</f>
        <v>367425000</v>
      </c>
    </row>
    <row r="85" spans="1:11" s="261" customFormat="1" ht="12.75">
      <c r="A85" s="249"/>
      <c r="B85" s="258"/>
      <c r="C85" s="259" t="s">
        <v>10</v>
      </c>
      <c r="D85" s="258"/>
      <c r="E85" s="266">
        <f>SUM(E86:E88)</f>
        <v>0</v>
      </c>
      <c r="F85" s="266">
        <f aca="true" t="shared" si="5" ref="F85:K85">SUM(F86:F88)</f>
        <v>0</v>
      </c>
      <c r="G85" s="266">
        <f t="shared" si="5"/>
        <v>0</v>
      </c>
      <c r="H85" s="266">
        <f t="shared" si="5"/>
        <v>0</v>
      </c>
      <c r="I85" s="266">
        <f t="shared" si="5"/>
        <v>0</v>
      </c>
      <c r="J85" s="266">
        <f t="shared" si="5"/>
        <v>0</v>
      </c>
      <c r="K85" s="266">
        <f t="shared" si="5"/>
        <v>0</v>
      </c>
    </row>
    <row r="86" spans="1:11" s="270" customFormat="1" ht="12.75">
      <c r="A86" s="262"/>
      <c r="B86" s="129"/>
      <c r="C86" s="263" t="s">
        <v>3</v>
      </c>
      <c r="D86" s="129"/>
      <c r="E86" s="129"/>
      <c r="F86" s="129"/>
      <c r="G86" s="267"/>
      <c r="H86" s="267"/>
      <c r="I86" s="268"/>
      <c r="J86" s="269"/>
      <c r="K86" s="268">
        <f>SUM(E86:I86)</f>
        <v>0</v>
      </c>
    </row>
    <row r="87" spans="1:11" s="270" customFormat="1" ht="12.75">
      <c r="A87" s="262"/>
      <c r="B87" s="129"/>
      <c r="C87" s="263" t="s">
        <v>4</v>
      </c>
      <c r="D87" s="129"/>
      <c r="E87" s="129"/>
      <c r="F87" s="129"/>
      <c r="G87" s="267"/>
      <c r="H87" s="267"/>
      <c r="I87" s="268"/>
      <c r="J87" s="269"/>
      <c r="K87" s="268">
        <f>SUM(E87:I87)</f>
        <v>0</v>
      </c>
    </row>
    <row r="88" spans="1:11" s="275" customFormat="1" ht="12.75">
      <c r="A88" s="262"/>
      <c r="B88" s="271"/>
      <c r="C88" s="263" t="s">
        <v>5</v>
      </c>
      <c r="D88" s="271"/>
      <c r="E88" s="271"/>
      <c r="F88" s="271"/>
      <c r="G88" s="272"/>
      <c r="H88" s="272"/>
      <c r="I88" s="273"/>
      <c r="J88" s="274"/>
      <c r="K88" s="268">
        <f>SUM(E88:I88)</f>
        <v>0</v>
      </c>
    </row>
    <row r="89" spans="1:11" s="261" customFormat="1" ht="12.75">
      <c r="A89" s="249"/>
      <c r="B89" s="258"/>
      <c r="C89" s="385" t="s">
        <v>362</v>
      </c>
      <c r="D89" s="385"/>
      <c r="E89" s="385"/>
      <c r="F89" s="258"/>
      <c r="G89" s="260"/>
      <c r="H89" s="260"/>
      <c r="I89" s="276"/>
      <c r="J89" s="260"/>
      <c r="K89" s="276"/>
    </row>
    <row r="90" spans="1:12" s="244" customFormat="1" ht="12.75">
      <c r="A90" s="262"/>
      <c r="B90" s="258"/>
      <c r="C90" s="263" t="s">
        <v>576</v>
      </c>
      <c r="D90" s="264"/>
      <c r="E90" s="264"/>
      <c r="F90" s="264"/>
      <c r="G90" s="255"/>
      <c r="H90" s="255"/>
      <c r="I90" s="130">
        <v>367425000</v>
      </c>
      <c r="J90" s="124">
        <v>0</v>
      </c>
      <c r="K90" s="130">
        <v>367425000</v>
      </c>
      <c r="L90" s="358">
        <f>K90-'BẢNG CÂN ĐỐI KẾ TOÁN'!D46</f>
        <v>0</v>
      </c>
    </row>
    <row r="91" spans="1:11" s="96" customFormat="1" ht="12.75">
      <c r="A91" s="93"/>
      <c r="B91" s="89"/>
      <c r="C91" s="88" t="s">
        <v>363</v>
      </c>
      <c r="D91" s="89"/>
      <c r="E91" s="89"/>
      <c r="F91" s="89"/>
      <c r="G91" s="90"/>
      <c r="H91" s="90"/>
      <c r="I91" s="276">
        <f>I92</f>
        <v>129926149</v>
      </c>
      <c r="J91" s="90"/>
      <c r="K91" s="91">
        <f>SUM(E91:I91)</f>
        <v>129926149</v>
      </c>
    </row>
    <row r="92" spans="1:11" s="244" customFormat="1" ht="12.75">
      <c r="A92" s="277"/>
      <c r="B92" s="258"/>
      <c r="C92" s="263" t="s">
        <v>526</v>
      </c>
      <c r="D92" s="264"/>
      <c r="E92" s="264"/>
      <c r="F92" s="264"/>
      <c r="G92" s="255"/>
      <c r="H92" s="255"/>
      <c r="I92" s="265">
        <v>129926149</v>
      </c>
      <c r="J92" s="278"/>
      <c r="K92" s="265">
        <f>SUM(E92:I92)</f>
        <v>129926149</v>
      </c>
    </row>
    <row r="93" spans="1:11" s="261" customFormat="1" ht="12.75">
      <c r="A93" s="257"/>
      <c r="B93" s="258"/>
      <c r="C93" s="259" t="s">
        <v>361</v>
      </c>
      <c r="D93" s="258"/>
      <c r="E93" s="266">
        <f aca="true" t="shared" si="6" ref="E93:K93">SUM(E94:E95)</f>
        <v>0</v>
      </c>
      <c r="F93" s="266">
        <f t="shared" si="6"/>
        <v>0</v>
      </c>
      <c r="G93" s="266">
        <f t="shared" si="6"/>
        <v>0</v>
      </c>
      <c r="H93" s="266">
        <f t="shared" si="6"/>
        <v>0</v>
      </c>
      <c r="I93" s="266">
        <f t="shared" si="6"/>
        <v>38731248</v>
      </c>
      <c r="J93" s="266">
        <f t="shared" si="6"/>
        <v>0</v>
      </c>
      <c r="K93" s="266">
        <f t="shared" si="6"/>
        <v>38731248</v>
      </c>
    </row>
    <row r="94" spans="1:11" s="270" customFormat="1" ht="12.75">
      <c r="A94" s="262"/>
      <c r="B94" s="129"/>
      <c r="C94" s="118" t="s">
        <v>529</v>
      </c>
      <c r="D94" s="129"/>
      <c r="E94" s="129"/>
      <c r="F94" s="129"/>
      <c r="G94" s="267"/>
      <c r="H94" s="267"/>
      <c r="I94" s="268">
        <f>12910416+12910416+12910416</f>
        <v>38731248</v>
      </c>
      <c r="J94" s="269"/>
      <c r="K94" s="268">
        <f>SUM(E94:I94)</f>
        <v>38731248</v>
      </c>
    </row>
    <row r="95" spans="1:11" s="275" customFormat="1" ht="12.75">
      <c r="A95" s="262"/>
      <c r="B95" s="271"/>
      <c r="C95" s="118" t="s">
        <v>7</v>
      </c>
      <c r="D95" s="271"/>
      <c r="E95" s="271"/>
      <c r="F95" s="271"/>
      <c r="G95" s="272"/>
      <c r="H95" s="272"/>
      <c r="I95" s="273"/>
      <c r="J95" s="274"/>
      <c r="K95" s="268">
        <f>SUM(E95:I95)</f>
        <v>0</v>
      </c>
    </row>
    <row r="96" spans="1:11" s="244" customFormat="1" ht="12.75">
      <c r="A96" s="277"/>
      <c r="B96" s="258"/>
      <c r="C96" s="386" t="s">
        <v>362</v>
      </c>
      <c r="D96" s="386"/>
      <c r="E96" s="386"/>
      <c r="F96" s="264"/>
      <c r="G96" s="255"/>
      <c r="H96" s="255"/>
      <c r="I96" s="127"/>
      <c r="J96" s="278"/>
      <c r="K96" s="268">
        <f>SUM(E96:I96)</f>
        <v>0</v>
      </c>
    </row>
    <row r="97" spans="1:11" s="261" customFormat="1" ht="12.75">
      <c r="A97" s="257"/>
      <c r="B97" s="258"/>
      <c r="C97" s="259" t="s">
        <v>576</v>
      </c>
      <c r="D97" s="258"/>
      <c r="E97" s="258"/>
      <c r="F97" s="258"/>
      <c r="G97" s="260"/>
      <c r="H97" s="260"/>
      <c r="I97" s="284">
        <f>I92+I93</f>
        <v>168657397</v>
      </c>
      <c r="J97" s="280"/>
      <c r="K97" s="164">
        <f>SUM(E97:I97)</f>
        <v>168657397</v>
      </c>
    </row>
    <row r="98" spans="1:11" s="261" customFormat="1" ht="12.75">
      <c r="A98" s="257"/>
      <c r="B98" s="258"/>
      <c r="C98" s="259" t="s">
        <v>364</v>
      </c>
      <c r="D98" s="258"/>
      <c r="E98" s="258"/>
      <c r="F98" s="258"/>
      <c r="G98" s="260"/>
      <c r="H98" s="260"/>
      <c r="I98" s="279"/>
      <c r="J98" s="280"/>
      <c r="K98" s="276"/>
    </row>
    <row r="99" spans="1:11" s="261" customFormat="1" ht="12.75">
      <c r="A99" s="257"/>
      <c r="B99" s="258"/>
      <c r="C99" s="259" t="s">
        <v>527</v>
      </c>
      <c r="D99" s="258"/>
      <c r="E99" s="258"/>
      <c r="F99" s="258"/>
      <c r="G99" s="281"/>
      <c r="H99" s="260"/>
      <c r="I99" s="276">
        <f>I83-I91</f>
        <v>237498851</v>
      </c>
      <c r="J99" s="282"/>
      <c r="K99" s="276">
        <f>I99</f>
        <v>237498851</v>
      </c>
    </row>
    <row r="100" spans="1:12" s="261" customFormat="1" ht="12.75">
      <c r="A100" s="257"/>
      <c r="B100" s="258"/>
      <c r="C100" s="259" t="s">
        <v>577</v>
      </c>
      <c r="D100" s="258"/>
      <c r="E100" s="258"/>
      <c r="F100" s="258"/>
      <c r="G100" s="260"/>
      <c r="H100" s="260"/>
      <c r="I100" s="276">
        <f>I83-I97</f>
        <v>198767603</v>
      </c>
      <c r="J100" s="283">
        <v>0</v>
      </c>
      <c r="K100" s="276">
        <f>I100</f>
        <v>198767603</v>
      </c>
      <c r="L100" s="357">
        <f>K100-'BẢNG CÂN ĐỐI KẾ TOÁN'!D45</f>
        <v>0</v>
      </c>
    </row>
    <row r="101" spans="1:11" s="275" customFormat="1" ht="12.75">
      <c r="A101" s="262"/>
      <c r="B101" s="271"/>
      <c r="C101" s="118"/>
      <c r="D101" s="271"/>
      <c r="E101" s="271"/>
      <c r="F101" s="271"/>
      <c r="G101" s="272"/>
      <c r="H101" s="272"/>
      <c r="I101" s="130"/>
      <c r="J101" s="278"/>
      <c r="K101" s="130"/>
    </row>
    <row r="102" spans="1:11" ht="15">
      <c r="A102" s="42">
        <v>10</v>
      </c>
      <c r="C102" s="44" t="s">
        <v>371</v>
      </c>
      <c r="G102" s="45"/>
      <c r="H102" s="45"/>
      <c r="I102" s="50" t="s">
        <v>573</v>
      </c>
      <c r="J102" s="51"/>
      <c r="K102" s="50" t="s">
        <v>563</v>
      </c>
    </row>
    <row r="103" spans="3:11" ht="15">
      <c r="C103" s="44" t="s">
        <v>329</v>
      </c>
      <c r="G103" s="45"/>
      <c r="H103" s="45"/>
      <c r="I103" s="52" t="s">
        <v>330</v>
      </c>
      <c r="J103" s="53"/>
      <c r="K103" s="52" t="s">
        <v>330</v>
      </c>
    </row>
    <row r="104" spans="1:11" s="74" customFormat="1" ht="15">
      <c r="A104" s="69"/>
      <c r="B104" s="70"/>
      <c r="C104" s="105" t="s">
        <v>372</v>
      </c>
      <c r="D104" s="70"/>
      <c r="E104" s="72"/>
      <c r="F104" s="73"/>
      <c r="G104" s="72"/>
      <c r="H104" s="72"/>
      <c r="I104" s="76"/>
      <c r="J104" s="59"/>
      <c r="K104" s="62"/>
    </row>
    <row r="105" spans="1:11" s="25" customFormat="1" ht="15">
      <c r="A105" s="54"/>
      <c r="B105" s="43"/>
      <c r="C105" s="105" t="s">
        <v>373</v>
      </c>
      <c r="D105" s="43"/>
      <c r="E105" s="92"/>
      <c r="F105" s="89"/>
      <c r="G105" s="92"/>
      <c r="H105" s="92"/>
      <c r="I105" s="285">
        <f>SUM(I106:I112)</f>
        <v>42277082183</v>
      </c>
      <c r="J105" s="59"/>
      <c r="K105" s="285">
        <f>SUM(K106:K112)</f>
        <v>40349319804</v>
      </c>
    </row>
    <row r="106" spans="1:11" s="74" customFormat="1" ht="15">
      <c r="A106" s="69"/>
      <c r="B106" s="70"/>
      <c r="C106" s="107" t="s">
        <v>374</v>
      </c>
      <c r="D106" s="70"/>
      <c r="E106" s="72"/>
      <c r="F106" s="73"/>
      <c r="G106" s="72"/>
      <c r="H106" s="72"/>
      <c r="I106" s="106">
        <v>2985243556</v>
      </c>
      <c r="J106" s="59"/>
      <c r="K106" s="106">
        <v>2985243556</v>
      </c>
    </row>
    <row r="107" spans="1:11" s="74" customFormat="1" ht="15">
      <c r="A107" s="69"/>
      <c r="B107" s="70"/>
      <c r="C107" s="107" t="s">
        <v>375</v>
      </c>
      <c r="D107" s="70"/>
      <c r="E107" s="72"/>
      <c r="F107" s="73"/>
      <c r="G107" s="72"/>
      <c r="H107" s="72"/>
      <c r="I107" s="106">
        <f>'[5]TM BCTC'!$I$94</f>
        <v>7406469786</v>
      </c>
      <c r="J107" s="59"/>
      <c r="K107" s="106">
        <f>'[1]TM BCTC'!$I$366</f>
        <v>6759810156</v>
      </c>
    </row>
    <row r="108" spans="1:11" s="74" customFormat="1" ht="15">
      <c r="A108" s="69"/>
      <c r="B108" s="70"/>
      <c r="C108" s="107" t="s">
        <v>376</v>
      </c>
      <c r="D108" s="70"/>
      <c r="E108" s="72"/>
      <c r="F108" s="73"/>
      <c r="G108" s="72"/>
      <c r="H108" s="72"/>
      <c r="I108" s="106">
        <f>24021235500</f>
        <v>24021235500</v>
      </c>
      <c r="J108" s="59"/>
      <c r="K108" s="106">
        <v>23905653206</v>
      </c>
    </row>
    <row r="109" spans="1:11" s="74" customFormat="1" ht="15">
      <c r="A109" s="69"/>
      <c r="B109" s="70"/>
      <c r="C109" s="107" t="s">
        <v>377</v>
      </c>
      <c r="D109" s="70"/>
      <c r="E109" s="72"/>
      <c r="F109" s="73"/>
      <c r="G109" s="72"/>
      <c r="H109" s="72"/>
      <c r="I109" s="106">
        <f>'[2]TM BCTC'!$I$96</f>
        <v>4038039590</v>
      </c>
      <c r="J109" s="59"/>
      <c r="K109" s="106">
        <f>'[1]TM BCTC'!$I$368</f>
        <v>4038039590</v>
      </c>
    </row>
    <row r="110" spans="1:11" s="74" customFormat="1" ht="15">
      <c r="A110" s="69"/>
      <c r="B110" s="70"/>
      <c r="C110" s="107" t="s">
        <v>378</v>
      </c>
      <c r="D110" s="70"/>
      <c r="E110" s="72"/>
      <c r="F110" s="73"/>
      <c r="G110" s="72"/>
      <c r="H110" s="72"/>
      <c r="I110" s="62">
        <f>'[5]TM BCTC'!$I$97</f>
        <v>1957835273</v>
      </c>
      <c r="J110" s="59"/>
      <c r="K110" s="62">
        <v>1699814818</v>
      </c>
    </row>
    <row r="111" spans="1:11" s="74" customFormat="1" ht="15">
      <c r="A111" s="69"/>
      <c r="B111" s="70"/>
      <c r="C111" s="107" t="s">
        <v>379</v>
      </c>
      <c r="D111" s="70"/>
      <c r="E111" s="72"/>
      <c r="F111" s="73"/>
      <c r="G111" s="72"/>
      <c r="H111" s="72"/>
      <c r="I111" s="62">
        <v>29465000</v>
      </c>
      <c r="J111" s="59"/>
      <c r="K111" s="62">
        <v>29465000</v>
      </c>
    </row>
    <row r="112" spans="1:11" s="74" customFormat="1" ht="15">
      <c r="A112" s="69"/>
      <c r="B112" s="70"/>
      <c r="C112" s="107" t="s">
        <v>12</v>
      </c>
      <c r="D112" s="70"/>
      <c r="E112" s="72"/>
      <c r="F112" s="73"/>
      <c r="G112" s="72"/>
      <c r="H112" s="72"/>
      <c r="I112" s="62">
        <v>1838793478</v>
      </c>
      <c r="J112" s="390"/>
      <c r="K112" s="62">
        <v>931293478</v>
      </c>
    </row>
    <row r="113" spans="1:11" ht="15">
      <c r="A113" s="54"/>
      <c r="B113" s="24"/>
      <c r="C113" s="105" t="s">
        <v>380</v>
      </c>
      <c r="E113" s="92"/>
      <c r="F113" s="86"/>
      <c r="G113" s="92"/>
      <c r="H113" s="92"/>
      <c r="I113" s="285">
        <f>I114</f>
        <v>1713652453</v>
      </c>
      <c r="J113" s="57"/>
      <c r="K113" s="285">
        <f>K114</f>
        <v>1882570404</v>
      </c>
    </row>
    <row r="114" spans="1:11" s="66" customFormat="1" ht="15">
      <c r="A114" s="69"/>
      <c r="B114" s="80"/>
      <c r="C114" s="71" t="s">
        <v>11</v>
      </c>
      <c r="D114" s="80"/>
      <c r="E114" s="313"/>
      <c r="F114" s="70"/>
      <c r="G114" s="313"/>
      <c r="H114" s="313"/>
      <c r="I114" s="62">
        <f>'[5]TM BCTC'!$I$99</f>
        <v>1713652453</v>
      </c>
      <c r="J114" s="313"/>
      <c r="K114" s="62">
        <v>1882570404</v>
      </c>
    </row>
    <row r="115" spans="1:13" s="24" customFormat="1" ht="15.75" thickBot="1">
      <c r="A115" s="42"/>
      <c r="B115" s="43"/>
      <c r="C115" s="44" t="s">
        <v>333</v>
      </c>
      <c r="G115" s="45"/>
      <c r="H115" s="45"/>
      <c r="I115" s="108">
        <f>I104+I105+I113</f>
        <v>43990734636</v>
      </c>
      <c r="J115" s="59"/>
      <c r="K115" s="108">
        <f>K113+K105</f>
        <v>42231890208</v>
      </c>
      <c r="L115" s="109">
        <f>I115-'BẢNG CÂN ĐỐI KẾ TOÁN'!D48</f>
        <v>0</v>
      </c>
      <c r="M115" s="109">
        <f>K115-'BẢNG CÂN ĐỐI KẾ TOÁN'!E48</f>
        <v>0</v>
      </c>
    </row>
    <row r="116" spans="1:11" ht="15.75" thickTop="1">
      <c r="A116" s="42">
        <v>11</v>
      </c>
      <c r="C116" s="104" t="s">
        <v>381</v>
      </c>
      <c r="D116" s="104"/>
      <c r="E116" s="104"/>
      <c r="G116" s="45"/>
      <c r="H116" s="45"/>
      <c r="I116" s="46"/>
      <c r="J116" s="45"/>
      <c r="K116" s="47"/>
    </row>
    <row r="117" spans="3:11" ht="15">
      <c r="C117" s="44" t="s">
        <v>329</v>
      </c>
      <c r="G117" s="45"/>
      <c r="H117" s="45"/>
      <c r="I117" s="46"/>
      <c r="J117" s="45"/>
      <c r="K117" s="47"/>
    </row>
    <row r="118" spans="1:11" s="244" customFormat="1" ht="12.75">
      <c r="A118" s="277"/>
      <c r="B118" s="264"/>
      <c r="C118" s="286" t="s">
        <v>356</v>
      </c>
      <c r="D118" s="264"/>
      <c r="E118" s="287" t="s">
        <v>16</v>
      </c>
      <c r="F118" s="288"/>
      <c r="G118" s="287" t="s">
        <v>10</v>
      </c>
      <c r="H118" s="255"/>
      <c r="I118" s="287" t="s">
        <v>9</v>
      </c>
      <c r="J118" s="255"/>
      <c r="K118" s="289" t="s">
        <v>17</v>
      </c>
    </row>
    <row r="119" spans="1:12" s="261" customFormat="1" ht="12.75">
      <c r="A119" s="257"/>
      <c r="B119" s="258"/>
      <c r="C119" s="259" t="s">
        <v>360</v>
      </c>
      <c r="D119" s="258"/>
      <c r="E119" s="293">
        <f>E122</f>
        <v>14556209182</v>
      </c>
      <c r="F119" s="258"/>
      <c r="G119" s="293">
        <f>G122</f>
        <v>0</v>
      </c>
      <c r="H119" s="293">
        <f>H122</f>
        <v>0</v>
      </c>
      <c r="I119" s="293">
        <f>I122</f>
        <v>0</v>
      </c>
      <c r="J119" s="260"/>
      <c r="K119" s="293">
        <f>SUM(E119:I119)</f>
        <v>14556209182</v>
      </c>
      <c r="L119" s="359">
        <f>K119-'BẢNG CÂN ĐỐI KẾ TOÁN'!D50</f>
        <v>0</v>
      </c>
    </row>
    <row r="120" spans="1:11" s="244" customFormat="1" ht="12.75">
      <c r="A120" s="262"/>
      <c r="B120" s="258"/>
      <c r="C120" s="263" t="s">
        <v>366</v>
      </c>
      <c r="D120" s="264"/>
      <c r="E120" s="290"/>
      <c r="F120" s="264"/>
      <c r="G120" s="128"/>
      <c r="H120" s="290"/>
      <c r="I120" s="128"/>
      <c r="J120" s="128"/>
      <c r="K120" s="128"/>
    </row>
    <row r="121" spans="1:11" s="244" customFormat="1" ht="12.75">
      <c r="A121" s="262"/>
      <c r="B121" s="258"/>
      <c r="C121" s="263" t="s">
        <v>13</v>
      </c>
      <c r="D121" s="264"/>
      <c r="E121" s="290"/>
      <c r="F121" s="264"/>
      <c r="G121" s="290"/>
      <c r="H121" s="290"/>
      <c r="I121" s="290"/>
      <c r="J121" s="290"/>
      <c r="K121" s="290"/>
    </row>
    <row r="122" spans="1:11" s="244" customFormat="1" ht="12.75">
      <c r="A122" s="262"/>
      <c r="B122" s="258"/>
      <c r="C122" s="278" t="s">
        <v>14</v>
      </c>
      <c r="D122" s="278"/>
      <c r="E122" s="291">
        <v>14556209182</v>
      </c>
      <c r="F122" s="264"/>
      <c r="G122" s="290"/>
      <c r="H122" s="291"/>
      <c r="I122" s="291"/>
      <c r="J122" s="291"/>
      <c r="K122" s="290">
        <f>SUM(E122:I122)</f>
        <v>14556209182</v>
      </c>
    </row>
    <row r="123" spans="1:11" s="244" customFormat="1" ht="12.75">
      <c r="A123" s="262"/>
      <c r="B123" s="258"/>
      <c r="C123" s="263" t="s">
        <v>15</v>
      </c>
      <c r="D123" s="264"/>
      <c r="E123" s="290"/>
      <c r="F123" s="264"/>
      <c r="G123" s="128"/>
      <c r="H123" s="290"/>
      <c r="I123" s="128">
        <v>0</v>
      </c>
      <c r="J123" s="128">
        <v>0</v>
      </c>
      <c r="K123" s="128"/>
    </row>
    <row r="124" spans="1:12" s="261" customFormat="1" ht="12.75">
      <c r="A124" s="257"/>
      <c r="B124" s="258"/>
      <c r="C124" s="259" t="s">
        <v>363</v>
      </c>
      <c r="D124" s="258"/>
      <c r="E124" s="293">
        <f>E127</f>
        <v>457637127</v>
      </c>
      <c r="F124" s="258"/>
      <c r="G124" s="293">
        <f>G127</f>
        <v>218343132</v>
      </c>
      <c r="H124" s="293">
        <f>H127</f>
        <v>0</v>
      </c>
      <c r="I124" s="293">
        <f>I127</f>
        <v>0</v>
      </c>
      <c r="J124" s="260"/>
      <c r="K124" s="293">
        <f>SUM(E124:I124)</f>
        <v>675980259</v>
      </c>
      <c r="L124" s="359">
        <f>K124+'BẢNG CÂN ĐỐI KẾ TOÁN'!D51</f>
        <v>0</v>
      </c>
    </row>
    <row r="125" spans="1:11" s="244" customFormat="1" ht="12.75">
      <c r="A125" s="277"/>
      <c r="B125" s="258"/>
      <c r="C125" s="263" t="s">
        <v>366</v>
      </c>
      <c r="D125" s="264"/>
      <c r="E125" s="290"/>
      <c r="F125" s="264"/>
      <c r="G125" s="290"/>
      <c r="H125" s="290"/>
      <c r="I125" s="290"/>
      <c r="J125" s="290"/>
      <c r="K125" s="128"/>
    </row>
    <row r="126" spans="1:11" s="244" customFormat="1" ht="12.75">
      <c r="A126" s="277"/>
      <c r="B126" s="258"/>
      <c r="C126" s="263" t="s">
        <v>13</v>
      </c>
      <c r="D126" s="264"/>
      <c r="E126" s="290"/>
      <c r="F126" s="264"/>
      <c r="G126" s="128"/>
      <c r="H126" s="290"/>
      <c r="I126" s="128"/>
      <c r="J126" s="128"/>
      <c r="K126" s="128"/>
    </row>
    <row r="127" spans="1:11" s="244" customFormat="1" ht="12.75">
      <c r="A127" s="277"/>
      <c r="B127" s="258"/>
      <c r="C127" s="278" t="s">
        <v>14</v>
      </c>
      <c r="D127" s="278"/>
      <c r="E127" s="291">
        <v>457637127</v>
      </c>
      <c r="F127" s="264"/>
      <c r="G127" s="72">
        <f>72780995+72781044+72781044+49</f>
        <v>218343132</v>
      </c>
      <c r="H127" s="291"/>
      <c r="I127" s="291"/>
      <c r="J127" s="291"/>
      <c r="K127" s="290">
        <f>E127+G127</f>
        <v>675980259</v>
      </c>
    </row>
    <row r="128" spans="1:11" s="244" customFormat="1" ht="12.75">
      <c r="A128" s="277"/>
      <c r="B128" s="258"/>
      <c r="C128" s="263" t="s">
        <v>15</v>
      </c>
      <c r="D128" s="264"/>
      <c r="E128" s="264"/>
      <c r="F128" s="264"/>
      <c r="G128" s="292"/>
      <c r="H128" s="255"/>
      <c r="I128" s="292"/>
      <c r="J128" s="292"/>
      <c r="K128" s="292"/>
    </row>
    <row r="129" spans="1:11" s="261" customFormat="1" ht="12.75">
      <c r="A129" s="257"/>
      <c r="B129" s="258"/>
      <c r="C129" s="259" t="s">
        <v>364</v>
      </c>
      <c r="D129" s="258"/>
      <c r="E129" s="293">
        <f>E132</f>
        <v>14098572055</v>
      </c>
      <c r="F129" s="258"/>
      <c r="G129" s="293">
        <f>G132</f>
        <v>-218343132</v>
      </c>
      <c r="H129" s="293">
        <f>H132</f>
        <v>0</v>
      </c>
      <c r="I129" s="293">
        <f>I132</f>
        <v>0</v>
      </c>
      <c r="J129" s="280"/>
      <c r="K129" s="290">
        <f>SUM(E129:I129)</f>
        <v>13880228923</v>
      </c>
    </row>
    <row r="130" spans="1:11" s="261" customFormat="1" ht="12.75">
      <c r="A130" s="257"/>
      <c r="B130" s="258"/>
      <c r="C130" s="263" t="s">
        <v>366</v>
      </c>
      <c r="D130" s="258"/>
      <c r="E130" s="293"/>
      <c r="F130" s="258"/>
      <c r="G130" s="293"/>
      <c r="H130" s="293"/>
      <c r="I130" s="293"/>
      <c r="J130" s="293"/>
      <c r="K130" s="293"/>
    </row>
    <row r="131" spans="1:11" s="270" customFormat="1" ht="12.75">
      <c r="A131" s="262"/>
      <c r="B131" s="129"/>
      <c r="C131" s="263" t="s">
        <v>13</v>
      </c>
      <c r="D131" s="129"/>
      <c r="E131" s="128"/>
      <c r="F131" s="129"/>
      <c r="G131" s="128"/>
      <c r="H131" s="128"/>
      <c r="I131" s="128"/>
      <c r="J131" s="128"/>
      <c r="K131" s="128"/>
    </row>
    <row r="132" spans="1:12" s="244" customFormat="1" ht="12.75">
      <c r="A132" s="277"/>
      <c r="B132" s="264"/>
      <c r="C132" s="278" t="s">
        <v>14</v>
      </c>
      <c r="D132" s="264"/>
      <c r="E132" s="290">
        <f>E119-E124</f>
        <v>14098572055</v>
      </c>
      <c r="F132" s="258"/>
      <c r="G132" s="290">
        <f>G119-G124</f>
        <v>-218343132</v>
      </c>
      <c r="H132" s="290">
        <f>H119-H124</f>
        <v>0</v>
      </c>
      <c r="I132" s="290">
        <f>I119-I124</f>
        <v>0</v>
      </c>
      <c r="J132" s="290"/>
      <c r="K132" s="290">
        <f>SUM(E132:I132)</f>
        <v>13880228923</v>
      </c>
      <c r="L132" s="391">
        <f>K132-'BẢNG CÂN ĐỐI KẾ TOÁN'!D49</f>
        <v>0</v>
      </c>
    </row>
    <row r="133" spans="1:11" s="25" customFormat="1" ht="15">
      <c r="A133" s="42"/>
      <c r="B133" s="43"/>
      <c r="C133" s="99" t="s">
        <v>15</v>
      </c>
      <c r="D133" s="43"/>
      <c r="E133" s="111"/>
      <c r="F133" s="89"/>
      <c r="G133" s="111"/>
      <c r="H133" s="111"/>
      <c r="I133" s="111"/>
      <c r="J133" s="111"/>
      <c r="K133" s="111"/>
    </row>
    <row r="134" spans="1:11" ht="15">
      <c r="A134" s="42">
        <v>12</v>
      </c>
      <c r="C134" s="44" t="s">
        <v>382</v>
      </c>
      <c r="G134" s="45"/>
      <c r="H134" s="45"/>
      <c r="I134" s="50" t="s">
        <v>573</v>
      </c>
      <c r="J134" s="51"/>
      <c r="K134" s="50" t="s">
        <v>525</v>
      </c>
    </row>
    <row r="135" spans="3:11" ht="15">
      <c r="C135" s="44" t="s">
        <v>329</v>
      </c>
      <c r="G135" s="41"/>
      <c r="H135" s="45"/>
      <c r="I135" s="52" t="s">
        <v>330</v>
      </c>
      <c r="J135" s="53"/>
      <c r="K135" s="52" t="s">
        <v>330</v>
      </c>
    </row>
    <row r="136" spans="1:11" ht="15">
      <c r="A136" s="54"/>
      <c r="C136" s="55" t="s">
        <v>383</v>
      </c>
      <c r="G136" s="41"/>
      <c r="H136" s="45"/>
      <c r="I136" s="76">
        <v>550000000</v>
      </c>
      <c r="J136" s="112"/>
      <c r="K136" s="76">
        <v>550000000</v>
      </c>
    </row>
    <row r="137" spans="1:11" ht="15">
      <c r="A137" s="54"/>
      <c r="C137" s="55" t="s">
        <v>384</v>
      </c>
      <c r="G137" s="45"/>
      <c r="H137" s="45"/>
      <c r="I137" s="113"/>
      <c r="J137" s="114"/>
      <c r="K137" s="113"/>
    </row>
    <row r="138" spans="3:11" ht="15.75" thickBot="1">
      <c r="C138" s="44" t="s">
        <v>333</v>
      </c>
      <c r="G138" s="45"/>
      <c r="H138" s="45"/>
      <c r="I138" s="108">
        <f>I137+I136</f>
        <v>550000000</v>
      </c>
      <c r="J138" s="59"/>
      <c r="K138" s="108">
        <f>K137+K136</f>
        <v>550000000</v>
      </c>
    </row>
    <row r="139" spans="1:11" ht="15.75" thickTop="1">
      <c r="A139" s="49">
        <v>13</v>
      </c>
      <c r="C139" s="44" t="s">
        <v>385</v>
      </c>
      <c r="G139" s="45"/>
      <c r="H139" s="45"/>
      <c r="I139" s="50" t="s">
        <v>573</v>
      </c>
      <c r="J139" s="51"/>
      <c r="K139" s="50" t="s">
        <v>563</v>
      </c>
    </row>
    <row r="140" spans="3:11" ht="15">
      <c r="C140" s="44" t="s">
        <v>329</v>
      </c>
      <c r="G140" s="45"/>
      <c r="H140" s="45"/>
      <c r="I140" s="52" t="s">
        <v>330</v>
      </c>
      <c r="J140" s="53"/>
      <c r="K140" s="52" t="s">
        <v>330</v>
      </c>
    </row>
    <row r="141" spans="1:12" s="74" customFormat="1" ht="15">
      <c r="A141" s="69"/>
      <c r="B141" s="70"/>
      <c r="C141" s="71" t="s">
        <v>369</v>
      </c>
      <c r="D141" s="70"/>
      <c r="E141" s="72"/>
      <c r="F141" s="73"/>
      <c r="G141" s="72"/>
      <c r="H141" s="72"/>
      <c r="I141" s="2">
        <f>'[5]TM BCTC'!$I$138</f>
        <v>272080594</v>
      </c>
      <c r="J141" s="5"/>
      <c r="K141" s="2">
        <f>'[1]TM BCTC'!$I$410</f>
        <v>594086720</v>
      </c>
      <c r="L141" s="211"/>
    </row>
    <row r="142" spans="1:11" s="66" customFormat="1" ht="15">
      <c r="A142" s="69"/>
      <c r="B142" s="80"/>
      <c r="C142" s="71" t="s">
        <v>370</v>
      </c>
      <c r="D142" s="80"/>
      <c r="E142" s="72"/>
      <c r="F142" s="73"/>
      <c r="G142" s="72"/>
      <c r="H142" s="72"/>
      <c r="I142" s="76">
        <v>44200789</v>
      </c>
      <c r="J142" s="72"/>
      <c r="K142" s="76">
        <v>45756594</v>
      </c>
    </row>
    <row r="143" spans="1:13" s="24" customFormat="1" ht="15.75" thickBot="1">
      <c r="A143" s="42"/>
      <c r="B143" s="43"/>
      <c r="C143" s="44" t="s">
        <v>333</v>
      </c>
      <c r="G143" s="45"/>
      <c r="H143" s="45"/>
      <c r="I143" s="108">
        <f>I142+I141</f>
        <v>316281383</v>
      </c>
      <c r="J143" s="59"/>
      <c r="K143" s="108">
        <f>K142+K141</f>
        <v>639843314</v>
      </c>
      <c r="L143" s="109">
        <f>I143-'BẢNG CÂN ĐỐI KẾ TOÁN'!D58</f>
        <v>0</v>
      </c>
      <c r="M143" s="109">
        <f>K143-'BẢNG CÂN ĐỐI KẾ TOÁN'!E57</f>
        <v>0</v>
      </c>
    </row>
    <row r="144" spans="3:11" ht="15.75" thickTop="1">
      <c r="C144" s="44"/>
      <c r="G144" s="45"/>
      <c r="H144" s="45"/>
      <c r="I144" s="60"/>
      <c r="J144" s="59"/>
      <c r="K144" s="61"/>
    </row>
    <row r="145" spans="1:11" ht="15">
      <c r="A145" s="42">
        <v>14</v>
      </c>
      <c r="C145" s="44" t="s">
        <v>386</v>
      </c>
      <c r="G145" s="45"/>
      <c r="H145" s="45"/>
      <c r="I145" s="50" t="s">
        <v>573</v>
      </c>
      <c r="J145" s="51"/>
      <c r="K145" s="50" t="s">
        <v>563</v>
      </c>
    </row>
    <row r="146" spans="3:11" ht="15">
      <c r="C146" s="44" t="s">
        <v>329</v>
      </c>
      <c r="G146" s="41"/>
      <c r="H146" s="45"/>
      <c r="I146" s="52" t="s">
        <v>330</v>
      </c>
      <c r="J146" s="53"/>
      <c r="K146" s="52" t="s">
        <v>330</v>
      </c>
    </row>
    <row r="147" spans="1:11" ht="15">
      <c r="A147" s="54"/>
      <c r="C147" s="55" t="s">
        <v>387</v>
      </c>
      <c r="G147" s="45"/>
      <c r="H147" s="45"/>
      <c r="I147" s="56">
        <f>SUM(I148:I153)</f>
        <v>33637001957</v>
      </c>
      <c r="J147" s="114"/>
      <c r="K147" s="56">
        <f>SUM(K148:K152)</f>
        <v>34824975074</v>
      </c>
    </row>
    <row r="148" spans="1:11" s="66" customFormat="1" ht="15">
      <c r="A148" s="69"/>
      <c r="B148" s="80"/>
      <c r="C148" s="71" t="s">
        <v>388</v>
      </c>
      <c r="D148" s="80"/>
      <c r="E148" s="80"/>
      <c r="F148" s="80"/>
      <c r="G148" s="100"/>
      <c r="H148" s="100"/>
      <c r="I148" s="62">
        <f>4600000000</f>
        <v>4600000000</v>
      </c>
      <c r="J148" s="63"/>
      <c r="K148" s="62">
        <f>3620392800</f>
        <v>3620392800</v>
      </c>
    </row>
    <row r="149" spans="1:11" s="66" customFormat="1" ht="15">
      <c r="A149" s="69"/>
      <c r="B149" s="80"/>
      <c r="C149" s="71" t="s">
        <v>389</v>
      </c>
      <c r="D149" s="80"/>
      <c r="E149" s="80"/>
      <c r="F149" s="80"/>
      <c r="G149" s="100"/>
      <c r="H149" s="100"/>
      <c r="I149" s="116">
        <f>19565010957</f>
        <v>19565010957</v>
      </c>
      <c r="J149" s="63"/>
      <c r="K149" s="116">
        <f>21160721391</f>
        <v>21160721391</v>
      </c>
    </row>
    <row r="150" spans="1:11" s="66" customFormat="1" ht="15">
      <c r="A150" s="69"/>
      <c r="B150" s="80"/>
      <c r="C150" s="71" t="s">
        <v>390</v>
      </c>
      <c r="D150" s="80"/>
      <c r="E150" s="80"/>
      <c r="F150" s="80"/>
      <c r="G150" s="100"/>
      <c r="H150" s="100"/>
      <c r="I150" s="116">
        <f>5254090600</f>
        <v>5254090600</v>
      </c>
      <c r="J150" s="63"/>
      <c r="K150" s="116">
        <f>7649666125</f>
        <v>7649666125</v>
      </c>
    </row>
    <row r="151" spans="1:11" s="66" customFormat="1" ht="15">
      <c r="A151" s="69"/>
      <c r="B151" s="80"/>
      <c r="C151" s="71" t="s">
        <v>391</v>
      </c>
      <c r="D151" s="80"/>
      <c r="E151" s="80"/>
      <c r="F151" s="80"/>
      <c r="G151" s="100"/>
      <c r="H151" s="100"/>
      <c r="I151" s="116"/>
      <c r="J151" s="63"/>
      <c r="K151" s="116">
        <f>994194758</f>
        <v>994194758</v>
      </c>
    </row>
    <row r="152" spans="1:11" s="66" customFormat="1" ht="15">
      <c r="A152" s="69"/>
      <c r="B152" s="80"/>
      <c r="C152" s="71" t="s">
        <v>392</v>
      </c>
      <c r="D152" s="80"/>
      <c r="E152" s="80"/>
      <c r="F152" s="80"/>
      <c r="G152" s="100"/>
      <c r="H152" s="100"/>
      <c r="I152" s="116">
        <f>1400000000</f>
        <v>1400000000</v>
      </c>
      <c r="J152" s="63"/>
      <c r="K152" s="116">
        <f>1400000000</f>
        <v>1400000000</v>
      </c>
    </row>
    <row r="153" spans="1:11" s="66" customFormat="1" ht="15">
      <c r="A153" s="69"/>
      <c r="B153" s="80"/>
      <c r="C153" s="71" t="str">
        <f>C159</f>
        <v> - Ng©n hµng NNPTNT Mü §×nh</v>
      </c>
      <c r="D153" s="80"/>
      <c r="E153" s="80"/>
      <c r="F153" s="80"/>
      <c r="G153" s="100"/>
      <c r="H153" s="100"/>
      <c r="I153" s="116">
        <f>2817900400</f>
        <v>2817900400</v>
      </c>
      <c r="J153" s="63"/>
      <c r="K153" s="116"/>
    </row>
    <row r="154" spans="1:11" ht="14.25">
      <c r="A154" s="54"/>
      <c r="B154" s="24"/>
      <c r="C154" s="55" t="s">
        <v>393</v>
      </c>
      <c r="G154" s="45"/>
      <c r="H154" s="45"/>
      <c r="I154" s="76">
        <f>SUM(I155:I160)</f>
        <v>1043207500</v>
      </c>
      <c r="J154" s="57"/>
      <c r="K154" s="76">
        <f>SUM(K155:K158)</f>
        <v>4082830000</v>
      </c>
    </row>
    <row r="155" spans="1:11" s="66" customFormat="1" ht="15">
      <c r="A155" s="69"/>
      <c r="B155" s="80"/>
      <c r="C155" s="71" t="s">
        <v>390</v>
      </c>
      <c r="D155" s="80"/>
      <c r="E155" s="80"/>
      <c r="F155" s="80"/>
      <c r="G155" s="100"/>
      <c r="H155" s="100"/>
      <c r="I155" s="62">
        <f>481250000</f>
        <v>481250000</v>
      </c>
      <c r="J155" s="63"/>
      <c r="K155" s="62">
        <f>1925000000</f>
        <v>1925000000</v>
      </c>
    </row>
    <row r="156" spans="1:11" s="66" customFormat="1" ht="15">
      <c r="A156" s="69"/>
      <c r="B156" s="80"/>
      <c r="C156" s="71" t="s">
        <v>530</v>
      </c>
      <c r="D156" s="80"/>
      <c r="E156" s="80"/>
      <c r="F156" s="80"/>
      <c r="G156" s="100"/>
      <c r="H156" s="100"/>
      <c r="I156" s="62"/>
      <c r="J156" s="63"/>
      <c r="K156" s="116">
        <f>94500000</f>
        <v>94500000</v>
      </c>
    </row>
    <row r="157" spans="1:11" s="66" customFormat="1" ht="15">
      <c r="A157" s="69"/>
      <c r="B157" s="80"/>
      <c r="C157" s="71" t="s">
        <v>394</v>
      </c>
      <c r="D157" s="80"/>
      <c r="E157" s="80"/>
      <c r="F157" s="80"/>
      <c r="G157" s="100"/>
      <c r="H157" s="100"/>
      <c r="I157" s="116">
        <f>23625000</f>
        <v>23625000</v>
      </c>
      <c r="J157" s="63"/>
      <c r="K157" s="116">
        <f>270000000</f>
        <v>270000000</v>
      </c>
    </row>
    <row r="158" spans="1:11" ht="15">
      <c r="A158" s="54"/>
      <c r="B158" s="24"/>
      <c r="C158" s="71" t="s">
        <v>395</v>
      </c>
      <c r="D158" s="80"/>
      <c r="E158" s="80"/>
      <c r="F158" s="80"/>
      <c r="G158" s="100"/>
      <c r="H158" s="100"/>
      <c r="I158" s="116">
        <f>90000000</f>
        <v>90000000</v>
      </c>
      <c r="J158" s="92"/>
      <c r="K158" s="62">
        <f>1793330000</f>
        <v>1793330000</v>
      </c>
    </row>
    <row r="159" spans="1:11" ht="15">
      <c r="A159" s="54"/>
      <c r="B159" s="24"/>
      <c r="C159" s="71" t="s">
        <v>396</v>
      </c>
      <c r="D159" s="80"/>
      <c r="E159" s="80"/>
      <c r="F159" s="80"/>
      <c r="G159" s="100"/>
      <c r="H159" s="100"/>
      <c r="I159" s="62">
        <f>448332500</f>
        <v>448332500</v>
      </c>
      <c r="J159" s="92"/>
      <c r="K159" s="62"/>
    </row>
    <row r="160" spans="1:11" ht="15">
      <c r="A160" s="54"/>
      <c r="B160" s="24"/>
      <c r="C160" s="71" t="s">
        <v>531</v>
      </c>
      <c r="D160" s="80"/>
      <c r="E160" s="80"/>
      <c r="F160" s="80"/>
      <c r="G160" s="100"/>
      <c r="H160" s="100"/>
      <c r="I160" s="62"/>
      <c r="J160" s="92"/>
      <c r="K160" s="62"/>
    </row>
    <row r="161" spans="3:13" ht="15.75" thickBot="1">
      <c r="C161" s="44" t="s">
        <v>333</v>
      </c>
      <c r="G161" s="45"/>
      <c r="H161" s="45"/>
      <c r="I161" s="108">
        <f>I147+I154</f>
        <v>34680209457</v>
      </c>
      <c r="J161" s="59"/>
      <c r="K161" s="108">
        <f>K147+K154</f>
        <v>38907805074</v>
      </c>
      <c r="L161" s="215">
        <f>I161-'BẢNG CÂN ĐỐI KẾ TOÁN'!D66</f>
        <v>0</v>
      </c>
      <c r="M161" s="215">
        <f>K161-'BẢNG CÂN ĐỐI KẾ TOÁN'!E66</f>
        <v>0</v>
      </c>
    </row>
    <row r="162" spans="3:11" ht="15.75" thickTop="1">
      <c r="C162" s="44"/>
      <c r="G162" s="45"/>
      <c r="H162" s="45"/>
      <c r="I162" s="60"/>
      <c r="J162" s="59"/>
      <c r="K162" s="61"/>
    </row>
    <row r="163" spans="1:11" ht="15">
      <c r="A163" s="42">
        <v>15</v>
      </c>
      <c r="C163" s="44" t="s">
        <v>18</v>
      </c>
      <c r="G163" s="45"/>
      <c r="H163" s="45"/>
      <c r="I163" s="50" t="s">
        <v>573</v>
      </c>
      <c r="J163" s="51"/>
      <c r="K163" s="50" t="s">
        <v>563</v>
      </c>
    </row>
    <row r="164" spans="3:11" ht="15">
      <c r="C164" s="44"/>
      <c r="G164" s="45"/>
      <c r="H164" s="45"/>
      <c r="I164" s="52" t="s">
        <v>330</v>
      </c>
      <c r="J164" s="53"/>
      <c r="K164" s="52" t="s">
        <v>330</v>
      </c>
    </row>
    <row r="165" spans="1:12" ht="14.25">
      <c r="A165" s="54"/>
      <c r="B165" s="24"/>
      <c r="C165" s="55" t="s">
        <v>19</v>
      </c>
      <c r="E165" s="92"/>
      <c r="F165" s="86"/>
      <c r="G165" s="92"/>
      <c r="H165" s="92"/>
      <c r="I165" s="76">
        <f>'[5]TM BCTC'!$I$165+16124145</f>
        <v>10842762662</v>
      </c>
      <c r="J165" s="57"/>
      <c r="K165" s="76">
        <v>19036094458</v>
      </c>
      <c r="L165" s="215">
        <f>I165-'BẢNG CÂN ĐỐI KẾ TOÁN'!D67</f>
        <v>0</v>
      </c>
    </row>
    <row r="166" spans="1:12" s="74" customFormat="1" ht="14.25">
      <c r="A166" s="6"/>
      <c r="B166" s="70"/>
      <c r="C166" s="294" t="s">
        <v>397</v>
      </c>
      <c r="D166" s="70"/>
      <c r="E166" s="117"/>
      <c r="F166" s="73"/>
      <c r="G166" s="117"/>
      <c r="H166" s="117"/>
      <c r="I166" s="76">
        <f>'[5]TM BCTC'!$I$164</f>
        <v>6157289000</v>
      </c>
      <c r="J166" s="117"/>
      <c r="K166" s="76">
        <v>1081769273</v>
      </c>
      <c r="L166" s="211">
        <f>I166-'BẢNG CÂN ĐỐI KẾ TOÁN'!D68</f>
        <v>0</v>
      </c>
    </row>
    <row r="167" spans="1:12" s="24" customFormat="1" ht="15.75" thickBot="1">
      <c r="A167" s="42"/>
      <c r="B167" s="43"/>
      <c r="C167" s="44" t="s">
        <v>333</v>
      </c>
      <c r="G167" s="45"/>
      <c r="H167" s="45"/>
      <c r="I167" s="108">
        <f>I166+I165</f>
        <v>17000051662</v>
      </c>
      <c r="J167" s="59"/>
      <c r="K167" s="108">
        <f>K166+K165</f>
        <v>20117863731</v>
      </c>
      <c r="L167" s="109"/>
    </row>
    <row r="168" spans="1:11" ht="15.75" thickTop="1">
      <c r="A168" s="42">
        <v>16</v>
      </c>
      <c r="C168" s="44" t="s">
        <v>398</v>
      </c>
      <c r="D168" s="119"/>
      <c r="E168" s="119"/>
      <c r="F168" s="119"/>
      <c r="G168" s="119"/>
      <c r="H168" s="119"/>
      <c r="I168" s="120"/>
      <c r="J168" s="119"/>
      <c r="K168" s="68" t="s">
        <v>399</v>
      </c>
    </row>
    <row r="169" spans="1:11" ht="15">
      <c r="A169" s="49"/>
      <c r="C169" s="44" t="s">
        <v>329</v>
      </c>
      <c r="D169" s="119"/>
      <c r="E169" s="295"/>
      <c r="F169" s="296"/>
      <c r="G169" s="297"/>
      <c r="H169" s="298"/>
      <c r="I169" s="50" t="s">
        <v>573</v>
      </c>
      <c r="J169" s="51"/>
      <c r="K169" s="50" t="s">
        <v>563</v>
      </c>
    </row>
    <row r="170" spans="1:11" ht="15">
      <c r="A170" s="54"/>
      <c r="C170" s="55" t="s">
        <v>400</v>
      </c>
      <c r="D170" s="121"/>
      <c r="E170" s="122"/>
      <c r="F170" s="299"/>
      <c r="G170" s="122"/>
      <c r="H170" s="122"/>
      <c r="I170" s="76">
        <f>'[5]TM BCTC'!$K$171</f>
        <v>5485675816</v>
      </c>
      <c r="J170" s="122"/>
      <c r="K170" s="76">
        <v>2774880285</v>
      </c>
    </row>
    <row r="171" spans="1:11" ht="15">
      <c r="A171" s="54"/>
      <c r="C171" s="55" t="s">
        <v>401</v>
      </c>
      <c r="D171" s="121"/>
      <c r="E171" s="124"/>
      <c r="F171" s="123"/>
      <c r="G171" s="124"/>
      <c r="H171" s="123"/>
      <c r="I171" s="76">
        <f>121634402</f>
        <v>121634402</v>
      </c>
      <c r="J171" s="124"/>
      <c r="K171" s="76">
        <v>237246442</v>
      </c>
    </row>
    <row r="172" spans="1:11" ht="15">
      <c r="A172" s="54"/>
      <c r="C172" s="55" t="s">
        <v>402</v>
      </c>
      <c r="D172" s="121"/>
      <c r="E172" s="124"/>
      <c r="F172" s="123"/>
      <c r="G172" s="124"/>
      <c r="H172" s="124"/>
      <c r="I172" s="76"/>
      <c r="J172" s="124"/>
      <c r="K172" s="76">
        <v>1425167</v>
      </c>
    </row>
    <row r="173" spans="1:11" ht="15">
      <c r="A173" s="54"/>
      <c r="C173" s="55" t="s">
        <v>403</v>
      </c>
      <c r="D173" s="121"/>
      <c r="E173" s="124">
        <v>0</v>
      </c>
      <c r="F173" s="123"/>
      <c r="G173" s="124"/>
      <c r="H173" s="123"/>
      <c r="I173" s="131"/>
      <c r="J173" s="125"/>
      <c r="K173" s="130"/>
    </row>
    <row r="174" spans="3:12" ht="15.75" thickBot="1">
      <c r="C174" s="44" t="s">
        <v>333</v>
      </c>
      <c r="D174" s="132"/>
      <c r="E174" s="164"/>
      <c r="F174" s="300"/>
      <c r="G174" s="164"/>
      <c r="H174" s="133" t="e">
        <f>H170+#REF!+#REF!+H171+H172+#REF!+#REF!+H173</f>
        <v>#REF!</v>
      </c>
      <c r="I174" s="133">
        <f>SUM(I170:I173)</f>
        <v>5607310218</v>
      </c>
      <c r="J174" s="133"/>
      <c r="K174" s="133">
        <f>SUM(K170:K173)</f>
        <v>3013551894</v>
      </c>
      <c r="L174" s="215">
        <f>I174-'BẢNG CÂN ĐỐI KẾ TOÁN'!D69</f>
        <v>0</v>
      </c>
    </row>
    <row r="175" spans="3:11" ht="15.75" thickTop="1">
      <c r="C175" s="134"/>
      <c r="D175" s="132"/>
      <c r="E175" s="75"/>
      <c r="F175" s="59"/>
      <c r="G175" s="135"/>
      <c r="H175" s="136"/>
      <c r="I175" s="60"/>
      <c r="J175" s="136"/>
      <c r="K175" s="60"/>
    </row>
    <row r="176" spans="1:11" ht="15">
      <c r="A176" s="42">
        <v>17</v>
      </c>
      <c r="C176" s="44" t="s">
        <v>404</v>
      </c>
      <c r="G176" s="45"/>
      <c r="H176" s="45"/>
      <c r="I176" s="50" t="s">
        <v>573</v>
      </c>
      <c r="J176" s="51"/>
      <c r="K176" s="50" t="s">
        <v>563</v>
      </c>
    </row>
    <row r="177" spans="3:11" ht="15">
      <c r="C177" s="44"/>
      <c r="G177" s="45"/>
      <c r="H177" s="45"/>
      <c r="I177" s="52" t="s">
        <v>330</v>
      </c>
      <c r="J177" s="53"/>
      <c r="K177" s="52" t="s">
        <v>330</v>
      </c>
    </row>
    <row r="178" spans="1:11" s="25" customFormat="1" ht="15">
      <c r="A178" s="54"/>
      <c r="B178" s="43"/>
      <c r="C178" s="55" t="s">
        <v>20</v>
      </c>
      <c r="D178" s="43"/>
      <c r="E178" s="92"/>
      <c r="F178" s="89"/>
      <c r="G178" s="92"/>
      <c r="H178" s="92"/>
      <c r="I178" s="76">
        <f>'BẢNG CÂN ĐỐI KẾ TOÁN'!D70</f>
        <v>2233346718</v>
      </c>
      <c r="J178" s="59"/>
      <c r="K178" s="76">
        <v>7439038638</v>
      </c>
    </row>
    <row r="179" spans="1:11" s="66" customFormat="1" ht="15">
      <c r="A179" s="69"/>
      <c r="B179" s="80"/>
      <c r="C179" s="71"/>
      <c r="D179" s="80"/>
      <c r="E179" s="72"/>
      <c r="F179" s="73"/>
      <c r="G179" s="72"/>
      <c r="H179" s="72"/>
      <c r="I179" s="76"/>
      <c r="J179" s="72"/>
      <c r="K179" s="76"/>
    </row>
    <row r="180" spans="1:12" s="24" customFormat="1" ht="15.75" thickBot="1">
      <c r="A180" s="42"/>
      <c r="B180" s="43"/>
      <c r="C180" s="44" t="s">
        <v>333</v>
      </c>
      <c r="G180" s="45"/>
      <c r="H180" s="45"/>
      <c r="I180" s="108">
        <f>SUM(I178:I179)</f>
        <v>2233346718</v>
      </c>
      <c r="J180" s="59"/>
      <c r="K180" s="108">
        <f>SUM(K178:K179)</f>
        <v>7439038638</v>
      </c>
      <c r="L180" s="109">
        <f>I180-'BẢNG CÂN ĐỐI KẾ TOÁN'!D70</f>
        <v>0</v>
      </c>
    </row>
    <row r="181" spans="1:12" s="24" customFormat="1" ht="15.75" thickTop="1">
      <c r="A181" s="42"/>
      <c r="B181" s="43"/>
      <c r="C181" s="44"/>
      <c r="G181" s="45"/>
      <c r="H181" s="45"/>
      <c r="I181" s="61"/>
      <c r="J181" s="59"/>
      <c r="K181" s="61"/>
      <c r="L181" s="109"/>
    </row>
    <row r="182" spans="1:11" ht="15">
      <c r="A182" s="42">
        <v>17</v>
      </c>
      <c r="C182" s="44" t="s">
        <v>405</v>
      </c>
      <c r="G182" s="45"/>
      <c r="H182" s="45"/>
      <c r="I182" s="50" t="s">
        <v>573</v>
      </c>
      <c r="J182" s="51"/>
      <c r="K182" s="50" t="s">
        <v>563</v>
      </c>
    </row>
    <row r="183" spans="3:11" ht="15">
      <c r="C183" s="44"/>
      <c r="G183" s="45"/>
      <c r="H183" s="45"/>
      <c r="I183" s="52" t="s">
        <v>330</v>
      </c>
      <c r="J183" s="53"/>
      <c r="K183" s="52" t="s">
        <v>330</v>
      </c>
    </row>
    <row r="184" spans="1:11" s="25" customFormat="1" ht="15">
      <c r="A184" s="54"/>
      <c r="B184" s="43"/>
      <c r="C184" s="55" t="s">
        <v>21</v>
      </c>
      <c r="D184" s="43"/>
      <c r="E184" s="92"/>
      <c r="F184" s="89"/>
      <c r="G184" s="92"/>
      <c r="H184" s="92"/>
      <c r="I184" s="76">
        <f>'BẢNG CÂN ĐỐI KẾ TOÁN'!D71</f>
        <v>7755906995</v>
      </c>
      <c r="J184" s="59"/>
      <c r="K184" s="76">
        <v>10857165635</v>
      </c>
    </row>
    <row r="185" spans="1:11" s="66" customFormat="1" ht="15">
      <c r="A185" s="69"/>
      <c r="B185" s="80"/>
      <c r="C185" s="71"/>
      <c r="D185" s="80"/>
      <c r="E185" s="72"/>
      <c r="F185" s="73"/>
      <c r="G185" s="72"/>
      <c r="H185" s="72"/>
      <c r="I185" s="76"/>
      <c r="J185" s="72"/>
      <c r="K185" s="76"/>
    </row>
    <row r="186" spans="1:12" s="24" customFormat="1" ht="15.75" thickBot="1">
      <c r="A186" s="42"/>
      <c r="B186" s="43"/>
      <c r="C186" s="44" t="s">
        <v>333</v>
      </c>
      <c r="G186" s="45"/>
      <c r="H186" s="45"/>
      <c r="I186" s="108">
        <f>SUM(I184:I185)</f>
        <v>7755906995</v>
      </c>
      <c r="J186" s="59"/>
      <c r="K186" s="108">
        <f>SUM(K184:K185)</f>
        <v>10857165635</v>
      </c>
      <c r="L186" s="109">
        <f>I186-'BẢNG CÂN ĐỐI KẾ TOÁN'!D71</f>
        <v>0</v>
      </c>
    </row>
    <row r="187" spans="1:11" s="24" customFormat="1" ht="15.75" thickTop="1">
      <c r="A187" s="42"/>
      <c r="B187" s="43"/>
      <c r="C187" s="44"/>
      <c r="G187" s="45"/>
      <c r="H187" s="45"/>
      <c r="I187" s="61"/>
      <c r="J187" s="59"/>
      <c r="K187" s="61"/>
    </row>
    <row r="188" spans="1:11" s="24" customFormat="1" ht="15">
      <c r="A188" s="42">
        <v>18</v>
      </c>
      <c r="B188" s="43"/>
      <c r="C188" s="44" t="s">
        <v>406</v>
      </c>
      <c r="G188" s="45"/>
      <c r="H188" s="45"/>
      <c r="I188" s="50" t="s">
        <v>573</v>
      </c>
      <c r="J188" s="51"/>
      <c r="K188" s="50" t="s">
        <v>563</v>
      </c>
    </row>
    <row r="189" spans="3:11" ht="15">
      <c r="C189" s="44"/>
      <c r="G189" s="45"/>
      <c r="H189" s="45"/>
      <c r="I189" s="52" t="s">
        <v>330</v>
      </c>
      <c r="J189" s="53"/>
      <c r="K189" s="52" t="s">
        <v>330</v>
      </c>
    </row>
    <row r="190" spans="1:11" s="66" customFormat="1" ht="15">
      <c r="A190" s="137"/>
      <c r="B190" s="80"/>
      <c r="C190" s="55" t="s">
        <v>407</v>
      </c>
      <c r="D190" s="24"/>
      <c r="E190" s="24"/>
      <c r="F190" s="24"/>
      <c r="G190" s="45"/>
      <c r="H190" s="45"/>
      <c r="I190" s="76">
        <f>'[5]TM BCTC'!$I$194</f>
        <v>665447200</v>
      </c>
      <c r="J190" s="114"/>
      <c r="K190" s="76">
        <v>482287731</v>
      </c>
    </row>
    <row r="191" spans="1:11" s="66" customFormat="1" ht="15">
      <c r="A191" s="137"/>
      <c r="B191" s="80"/>
      <c r="C191" s="55" t="s">
        <v>408</v>
      </c>
      <c r="D191" s="24"/>
      <c r="E191" s="24"/>
      <c r="F191" s="24"/>
      <c r="G191" s="45"/>
      <c r="H191" s="45"/>
      <c r="I191" s="138">
        <f>'[5]TM BCTC'!$I$195</f>
        <v>1406545742</v>
      </c>
      <c r="J191" s="114"/>
      <c r="K191" s="138">
        <v>860433184</v>
      </c>
    </row>
    <row r="192" spans="1:11" s="66" customFormat="1" ht="15">
      <c r="A192" s="137"/>
      <c r="B192" s="80"/>
      <c r="C192" s="55" t="s">
        <v>409</v>
      </c>
      <c r="D192" s="24"/>
      <c r="E192" s="24"/>
      <c r="F192" s="24"/>
      <c r="G192" s="45"/>
      <c r="H192" s="45"/>
      <c r="I192" s="138">
        <f>'[5]TM BCTC'!$I$196+44641929</f>
        <v>1407066703</v>
      </c>
      <c r="J192" s="114"/>
      <c r="K192" s="138">
        <v>1472519088</v>
      </c>
    </row>
    <row r="193" spans="1:12" s="24" customFormat="1" ht="15.75" thickBot="1">
      <c r="A193" s="42"/>
      <c r="B193" s="43"/>
      <c r="C193" s="44" t="s">
        <v>333</v>
      </c>
      <c r="G193" s="45"/>
      <c r="H193" s="45"/>
      <c r="I193" s="108">
        <f>I190+I191+I192</f>
        <v>3479059645</v>
      </c>
      <c r="J193" s="59"/>
      <c r="K193" s="108">
        <f>K190+K191+K192</f>
        <v>2815240003</v>
      </c>
      <c r="L193" s="109">
        <f>I193-'BẢNG CÂN ĐỐI KẾ TOÁN'!D74</f>
        <v>0</v>
      </c>
    </row>
    <row r="194" spans="3:11" ht="15.75" thickTop="1">
      <c r="C194" s="44"/>
      <c r="G194" s="45"/>
      <c r="H194" s="45"/>
      <c r="I194" s="60"/>
      <c r="J194" s="59"/>
      <c r="K194" s="61"/>
    </row>
    <row r="195" spans="1:11" s="139" customFormat="1" ht="15">
      <c r="A195" s="42">
        <v>19</v>
      </c>
      <c r="B195" s="104"/>
      <c r="C195" s="25" t="s">
        <v>410</v>
      </c>
      <c r="D195" s="67"/>
      <c r="E195" s="67"/>
      <c r="F195" s="67"/>
      <c r="G195" s="67"/>
      <c r="H195" s="67"/>
      <c r="I195" s="50" t="s">
        <v>573</v>
      </c>
      <c r="J195" s="51"/>
      <c r="K195" s="50" t="s">
        <v>563</v>
      </c>
    </row>
    <row r="196" spans="1:11" s="141" customFormat="1" ht="15">
      <c r="A196" s="42"/>
      <c r="B196" s="104"/>
      <c r="C196" s="71" t="s">
        <v>411</v>
      </c>
      <c r="D196" s="103"/>
      <c r="E196" s="103"/>
      <c r="F196" s="103"/>
      <c r="G196" s="140"/>
      <c r="H196" s="45"/>
      <c r="I196" s="76">
        <f>859000000</f>
        <v>859000000</v>
      </c>
      <c r="J196" s="76"/>
      <c r="K196" s="76">
        <f>--476053530</f>
        <v>476053530</v>
      </c>
    </row>
    <row r="197" spans="1:11" s="141" customFormat="1" ht="15">
      <c r="A197" s="42"/>
      <c r="B197" s="104"/>
      <c r="C197" s="71" t="s">
        <v>412</v>
      </c>
      <c r="D197" s="103"/>
      <c r="E197" s="103"/>
      <c r="F197" s="103"/>
      <c r="G197" s="140"/>
      <c r="H197" s="45"/>
      <c r="I197" s="76">
        <f>1443750000</f>
        <v>1443750000</v>
      </c>
      <c r="J197" s="76"/>
      <c r="K197" s="76">
        <f>--1443750000</f>
        <v>1443750000</v>
      </c>
    </row>
    <row r="198" spans="1:11" s="141" customFormat="1" ht="15">
      <c r="A198" s="42"/>
      <c r="B198" s="104"/>
      <c r="C198" s="71" t="s">
        <v>413</v>
      </c>
      <c r="D198" s="103"/>
      <c r="E198" s="103"/>
      <c r="F198" s="103"/>
      <c r="G198" s="140"/>
      <c r="H198" s="45"/>
      <c r="I198" s="76">
        <f>141750000</f>
        <v>141750000</v>
      </c>
      <c r="J198" s="76"/>
      <c r="K198" s="76">
        <f>--141750000</f>
        <v>141750000</v>
      </c>
    </row>
    <row r="199" spans="1:11" s="141" customFormat="1" ht="15">
      <c r="A199" s="42"/>
      <c r="B199" s="104"/>
      <c r="C199" s="71" t="s">
        <v>396</v>
      </c>
      <c r="D199" s="103"/>
      <c r="E199" s="103"/>
      <c r="F199" s="103"/>
      <c r="G199" s="140"/>
      <c r="H199" s="45"/>
      <c r="I199" s="76">
        <f>476053530</f>
        <v>476053530</v>
      </c>
      <c r="J199" s="76"/>
      <c r="K199" s="76">
        <f>--949000000</f>
        <v>949000000</v>
      </c>
    </row>
    <row r="200" spans="3:12" ht="15.75" thickBot="1">
      <c r="C200" s="44" t="s">
        <v>333</v>
      </c>
      <c r="G200" s="45"/>
      <c r="H200" s="45"/>
      <c r="I200" s="108">
        <f>SUM(I196:I199)</f>
        <v>2920553530</v>
      </c>
      <c r="J200" s="59"/>
      <c r="K200" s="108">
        <f>SUM(K196:K199)</f>
        <v>3010553530</v>
      </c>
      <c r="L200" s="215">
        <f>I200-'BẢNG CÂN ĐỐI KẾ TOÁN'!D81</f>
        <v>0</v>
      </c>
    </row>
    <row r="201" spans="3:11" ht="15.75" thickTop="1">
      <c r="C201" s="115"/>
      <c r="G201" s="45"/>
      <c r="H201" s="45"/>
      <c r="I201" s="46"/>
      <c r="J201" s="45"/>
      <c r="K201" s="47"/>
    </row>
    <row r="202" spans="1:11" ht="15.75">
      <c r="A202" s="49">
        <v>20</v>
      </c>
      <c r="C202" s="44" t="s">
        <v>414</v>
      </c>
      <c r="G202" s="45"/>
      <c r="H202" s="45"/>
      <c r="I202" s="46"/>
      <c r="J202" s="45"/>
      <c r="K202" s="150" t="s">
        <v>415</v>
      </c>
    </row>
    <row r="203" spans="1:11" s="151" customFormat="1" ht="15.75">
      <c r="A203" s="152"/>
      <c r="B203" s="145"/>
      <c r="C203" s="153" t="s">
        <v>416</v>
      </c>
      <c r="D203" s="154"/>
      <c r="E203" s="154"/>
      <c r="F203" s="154"/>
      <c r="G203" s="154"/>
      <c r="H203" s="154"/>
      <c r="I203" s="155"/>
      <c r="J203" s="154"/>
      <c r="K203" s="156"/>
    </row>
    <row r="204" spans="1:11" s="151" customFormat="1" ht="15.75">
      <c r="A204" s="157"/>
      <c r="B204" s="145"/>
      <c r="C204" s="158" t="s">
        <v>22</v>
      </c>
      <c r="D204" s="154"/>
      <c r="E204" s="159" t="s">
        <v>532</v>
      </c>
      <c r="F204" s="154"/>
      <c r="G204" s="392" t="s">
        <v>417</v>
      </c>
      <c r="H204" s="393"/>
      <c r="I204" s="392" t="s">
        <v>418</v>
      </c>
      <c r="J204" s="154"/>
      <c r="K204" s="159" t="s">
        <v>27</v>
      </c>
    </row>
    <row r="205" spans="1:11" s="151" customFormat="1" ht="15.75">
      <c r="A205" s="157"/>
      <c r="B205" s="147"/>
      <c r="C205" s="158" t="s">
        <v>419</v>
      </c>
      <c r="D205" s="160"/>
      <c r="E205" s="126">
        <f>'[1]TM BCTC'!$E$630</f>
        <v>99989600000</v>
      </c>
      <c r="F205" s="160"/>
      <c r="G205" s="126"/>
      <c r="H205" s="126"/>
      <c r="I205" s="126"/>
      <c r="J205" s="154"/>
      <c r="K205" s="126">
        <f>E205+G205-I205</f>
        <v>99989600000</v>
      </c>
    </row>
    <row r="206" spans="1:11" s="151" customFormat="1" ht="15.75">
      <c r="A206" s="157"/>
      <c r="B206" s="147"/>
      <c r="C206" s="158" t="s">
        <v>420</v>
      </c>
      <c r="D206" s="160"/>
      <c r="E206" s="126">
        <f>'[1]TM BCTC'!$E$623</f>
        <v>982166000</v>
      </c>
      <c r="F206" s="160"/>
      <c r="G206" s="126"/>
      <c r="H206" s="126"/>
      <c r="I206" s="126"/>
      <c r="J206" s="154"/>
      <c r="K206" s="126">
        <f>E206+G206-I206</f>
        <v>982166000</v>
      </c>
    </row>
    <row r="207" spans="1:11" s="151" customFormat="1" ht="15.75">
      <c r="A207" s="157"/>
      <c r="B207" s="147"/>
      <c r="C207" s="158" t="s">
        <v>421</v>
      </c>
      <c r="D207" s="160"/>
      <c r="E207" s="126">
        <f>'[1]TM BCTC'!$E$632</f>
        <v>15159711426</v>
      </c>
      <c r="F207" s="160"/>
      <c r="G207" s="126"/>
      <c r="H207" s="126"/>
      <c r="I207" s="126"/>
      <c r="J207" s="154"/>
      <c r="K207" s="126">
        <f>E207+G207-I207</f>
        <v>15159711426</v>
      </c>
    </row>
    <row r="208" spans="1:11" s="151" customFormat="1" ht="15.75">
      <c r="A208" s="157"/>
      <c r="B208" s="147"/>
      <c r="C208" s="158" t="s">
        <v>422</v>
      </c>
      <c r="D208" s="160"/>
      <c r="E208" s="126">
        <f>'[1]TM BCTC'!$E$633</f>
        <v>3296250989</v>
      </c>
      <c r="F208" s="160"/>
      <c r="G208" s="126"/>
      <c r="H208" s="126"/>
      <c r="I208" s="126"/>
      <c r="J208" s="154"/>
      <c r="K208" s="126">
        <f>E208+G208-I208</f>
        <v>3296250989</v>
      </c>
    </row>
    <row r="209" spans="1:12" s="151" customFormat="1" ht="16.5" thickBot="1">
      <c r="A209" s="157"/>
      <c r="B209" s="147"/>
      <c r="C209" s="158" t="s">
        <v>534</v>
      </c>
      <c r="D209" s="160"/>
      <c r="E209" s="161">
        <v>15749586006</v>
      </c>
      <c r="F209" s="162"/>
      <c r="G209" s="161"/>
      <c r="H209" s="160"/>
      <c r="I209" s="162"/>
      <c r="J209" s="57"/>
      <c r="K209" s="162">
        <f>E209+G209-I209</f>
        <v>15749586006</v>
      </c>
      <c r="L209" s="126"/>
    </row>
    <row r="210" spans="1:12" s="151" customFormat="1" ht="16.5" thickTop="1">
      <c r="A210" s="144"/>
      <c r="B210" s="145"/>
      <c r="C210" s="150" t="s">
        <v>423</v>
      </c>
      <c r="D210" s="163"/>
      <c r="E210" s="164">
        <f>SUM(E205:E209)</f>
        <v>135177314421</v>
      </c>
      <c r="F210" s="163"/>
      <c r="G210" s="164">
        <f>SUM(G205:G209)</f>
        <v>0</v>
      </c>
      <c r="H210" s="164">
        <f>SUM(H205:H209)</f>
        <v>0</v>
      </c>
      <c r="I210" s="164">
        <f>SUM(I205:I209)</f>
        <v>0</v>
      </c>
      <c r="J210" s="164">
        <f>SUM(J205:J209)</f>
        <v>0</v>
      </c>
      <c r="K210" s="164">
        <f>SUM(K205:K209)</f>
        <v>135177314421</v>
      </c>
      <c r="L210" s="164"/>
    </row>
    <row r="211" spans="1:12" s="151" customFormat="1" ht="15.75">
      <c r="A211" s="157"/>
      <c r="B211" s="147"/>
      <c r="C211" s="158" t="s">
        <v>23</v>
      </c>
      <c r="D211" s="154"/>
      <c r="E211" s="394" t="s">
        <v>533</v>
      </c>
      <c r="F211" s="395"/>
      <c r="G211" s="396" t="s">
        <v>417</v>
      </c>
      <c r="H211" s="397"/>
      <c r="I211" s="396" t="s">
        <v>418</v>
      </c>
      <c r="J211" s="395"/>
      <c r="K211" s="398" t="s">
        <v>578</v>
      </c>
      <c r="L211" s="164"/>
    </row>
    <row r="212" spans="1:11" s="151" customFormat="1" ht="15.75">
      <c r="A212" s="157"/>
      <c r="B212" s="147"/>
      <c r="C212" s="158" t="s">
        <v>419</v>
      </c>
      <c r="D212" s="160"/>
      <c r="E212" s="126">
        <f>'[1]TM BCTC'!$E$630</f>
        <v>99989600000</v>
      </c>
      <c r="F212" s="398"/>
      <c r="G212" s="126">
        <f>'[5]TM BCTC'!$G$227</f>
        <v>24979690000</v>
      </c>
      <c r="H212" s="126"/>
      <c r="I212" s="126"/>
      <c r="J212" s="399"/>
      <c r="K212" s="126">
        <f>E212+G212-I212</f>
        <v>124969290000</v>
      </c>
    </row>
    <row r="213" spans="1:11" s="151" customFormat="1" ht="15.75">
      <c r="A213" s="157"/>
      <c r="B213" s="147"/>
      <c r="C213" s="158" t="s">
        <v>420</v>
      </c>
      <c r="D213" s="160"/>
      <c r="E213" s="126">
        <f>'[1]TM BCTC'!$E$623</f>
        <v>982166000</v>
      </c>
      <c r="F213" s="398"/>
      <c r="G213" s="126"/>
      <c r="H213" s="126"/>
      <c r="I213" s="126"/>
      <c r="J213" s="399"/>
      <c r="K213" s="126">
        <f>E213+G213-I213</f>
        <v>982166000</v>
      </c>
    </row>
    <row r="214" spans="1:12" s="151" customFormat="1" ht="15.75">
      <c r="A214" s="157"/>
      <c r="B214" s="147"/>
      <c r="C214" s="158" t="s">
        <v>421</v>
      </c>
      <c r="D214" s="160"/>
      <c r="E214" s="126">
        <f>'[1]TM BCTC'!$E$632</f>
        <v>15159711426</v>
      </c>
      <c r="F214" s="398"/>
      <c r="G214" s="126"/>
      <c r="H214" s="126"/>
      <c r="I214" s="126">
        <f>'[5]TM BCTC'!$I$229</f>
        <v>9990534500</v>
      </c>
      <c r="J214" s="399"/>
      <c r="K214" s="126">
        <f>E214+G214-I214</f>
        <v>5169176926</v>
      </c>
      <c r="L214" s="217"/>
    </row>
    <row r="215" spans="1:12" s="151" customFormat="1" ht="15.75">
      <c r="A215" s="157"/>
      <c r="B215" s="147"/>
      <c r="C215" s="158" t="s">
        <v>422</v>
      </c>
      <c r="D215" s="160"/>
      <c r="E215" s="126">
        <f>'[1]TM BCTC'!$E$633</f>
        <v>3296250989</v>
      </c>
      <c r="F215" s="398"/>
      <c r="G215" s="126"/>
      <c r="H215" s="126"/>
      <c r="I215" s="126"/>
      <c r="J215" s="399"/>
      <c r="K215" s="126">
        <f>E215+G215-I215</f>
        <v>3296250989</v>
      </c>
      <c r="L215" s="217"/>
    </row>
    <row r="216" spans="1:13" s="151" customFormat="1" ht="16.5" thickBot="1">
      <c r="A216" s="157"/>
      <c r="B216" s="147"/>
      <c r="C216" s="158" t="s">
        <v>534</v>
      </c>
      <c r="D216" s="160"/>
      <c r="E216" s="161">
        <v>15749586006</v>
      </c>
      <c r="F216" s="161"/>
      <c r="G216" s="161">
        <v>4697043720</v>
      </c>
      <c r="H216" s="398"/>
      <c r="I216" s="161">
        <f>'[5]TM BCTC'!$I$231-475582294+360000000</f>
        <v>14959925405</v>
      </c>
      <c r="J216" s="124"/>
      <c r="K216" s="161">
        <f>E216+G216-I216</f>
        <v>5486704321</v>
      </c>
      <c r="L216" s="212">
        <f>K216-5486704321</f>
        <v>0</v>
      </c>
      <c r="M216" s="316"/>
    </row>
    <row r="217" spans="1:13" s="151" customFormat="1" ht="16.5" thickTop="1">
      <c r="A217" s="144"/>
      <c r="B217" s="145"/>
      <c r="C217" s="150" t="s">
        <v>423</v>
      </c>
      <c r="D217" s="163"/>
      <c r="E217" s="164">
        <f>SUM(E212:E216)</f>
        <v>135177314421</v>
      </c>
      <c r="F217" s="163"/>
      <c r="G217" s="164">
        <f>SUM(G212:G216)</f>
        <v>29676733720</v>
      </c>
      <c r="H217" s="164">
        <f>SUM(H212:H216)</f>
        <v>0</v>
      </c>
      <c r="I217" s="164">
        <f>SUM(I212:I216)</f>
        <v>24950459905</v>
      </c>
      <c r="J217" s="164">
        <f>SUM(J212:J216)</f>
        <v>0</v>
      </c>
      <c r="K217" s="164">
        <f>SUM(K212:K216)</f>
        <v>139903588236</v>
      </c>
      <c r="L217" s="217"/>
      <c r="M217" s="217"/>
    </row>
    <row r="218" spans="1:12" s="151" customFormat="1" ht="15.75">
      <c r="A218" s="144"/>
      <c r="B218" s="145"/>
      <c r="C218" s="150"/>
      <c r="D218" s="163"/>
      <c r="E218" s="164"/>
      <c r="F218" s="163"/>
      <c r="G218" s="164"/>
      <c r="H218" s="164"/>
      <c r="I218" s="164"/>
      <c r="J218" s="164"/>
      <c r="K218" s="164"/>
      <c r="L218" s="217"/>
    </row>
    <row r="219" spans="1:12" s="151" customFormat="1" ht="15.75">
      <c r="A219" s="144"/>
      <c r="B219" s="145"/>
      <c r="C219" s="150"/>
      <c r="D219" s="163"/>
      <c r="E219" s="164"/>
      <c r="F219" s="163"/>
      <c r="G219" s="164"/>
      <c r="H219" s="164"/>
      <c r="I219" s="164"/>
      <c r="J219" s="164"/>
      <c r="K219" s="164"/>
      <c r="L219" s="217"/>
    </row>
    <row r="220" spans="1:12" s="151" customFormat="1" ht="15.75">
      <c r="A220" s="144"/>
      <c r="B220" s="145"/>
      <c r="C220" s="150"/>
      <c r="D220" s="163"/>
      <c r="E220" s="164"/>
      <c r="F220" s="163"/>
      <c r="G220" s="164"/>
      <c r="H220" s="164"/>
      <c r="I220" s="164"/>
      <c r="J220" s="164"/>
      <c r="K220" s="164"/>
      <c r="L220" s="217"/>
    </row>
    <row r="221" spans="1:11" s="151" customFormat="1" ht="15.75">
      <c r="A221" s="144"/>
      <c r="B221" s="145"/>
      <c r="C221" s="165" t="s">
        <v>424</v>
      </c>
      <c r="D221" s="154"/>
      <c r="E221" s="154"/>
      <c r="F221" s="154"/>
      <c r="G221" s="166"/>
      <c r="H221" s="154"/>
      <c r="I221" s="50" t="s">
        <v>573</v>
      </c>
      <c r="J221" s="51"/>
      <c r="K221" s="50" t="s">
        <v>563</v>
      </c>
    </row>
    <row r="222" spans="1:11" s="151" customFormat="1" ht="15.75">
      <c r="A222" s="144"/>
      <c r="B222" s="145"/>
      <c r="C222" s="146" t="s">
        <v>329</v>
      </c>
      <c r="D222" s="154"/>
      <c r="E222" s="154"/>
      <c r="F222" s="154"/>
      <c r="G222" s="154"/>
      <c r="H222" s="154"/>
      <c r="I222" s="168" t="s">
        <v>330</v>
      </c>
      <c r="J222" s="169"/>
      <c r="K222" s="168" t="s">
        <v>330</v>
      </c>
    </row>
    <row r="223" spans="1:11" s="151" customFormat="1" ht="15.75">
      <c r="A223" s="144"/>
      <c r="B223" s="145"/>
      <c r="C223" s="158" t="s">
        <v>425</v>
      </c>
      <c r="D223" s="154"/>
      <c r="E223" s="154"/>
      <c r="F223" s="154"/>
      <c r="G223" s="154"/>
      <c r="H223" s="154"/>
      <c r="I223" s="126">
        <f>'[5]TM BCTC'!$I$235</f>
        <v>31934750000</v>
      </c>
      <c r="K223" s="126">
        <v>25547800000</v>
      </c>
    </row>
    <row r="224" spans="1:11" s="151" customFormat="1" ht="16.5" thickBot="1">
      <c r="A224" s="144"/>
      <c r="B224" s="145"/>
      <c r="C224" s="158" t="s">
        <v>426</v>
      </c>
      <c r="D224" s="154"/>
      <c r="E224" s="154"/>
      <c r="F224" s="154"/>
      <c r="G224" s="154"/>
      <c r="H224" s="154"/>
      <c r="I224" s="161">
        <f>'[5]TM BCTC'!$I$236</f>
        <v>93034540000</v>
      </c>
      <c r="J224" s="57"/>
      <c r="K224" s="161">
        <v>74441800000</v>
      </c>
    </row>
    <row r="225" spans="1:11" s="151" customFormat="1" ht="16.5" thickTop="1">
      <c r="A225" s="144"/>
      <c r="B225" s="145"/>
      <c r="C225" s="150" t="s">
        <v>423</v>
      </c>
      <c r="D225" s="154"/>
      <c r="E225" s="154"/>
      <c r="F225" s="154"/>
      <c r="G225" s="154"/>
      <c r="H225" s="154"/>
      <c r="I225" s="126">
        <f>SUM(I223:I224)</f>
        <v>124969290000</v>
      </c>
      <c r="J225" s="154"/>
      <c r="K225" s="126">
        <f>SUM(K223:K224)</f>
        <v>99989600000</v>
      </c>
    </row>
    <row r="226" spans="1:11" s="151" customFormat="1" ht="30.75" customHeight="1">
      <c r="A226" s="144"/>
      <c r="B226" s="145"/>
      <c r="C226" s="381" t="s">
        <v>427</v>
      </c>
      <c r="D226" s="381"/>
      <c r="E226" s="381"/>
      <c r="F226" s="381"/>
      <c r="G226" s="381"/>
      <c r="H226" s="154"/>
      <c r="I226" s="50" t="s">
        <v>573</v>
      </c>
      <c r="J226" s="51"/>
      <c r="K226" s="50" t="s">
        <v>563</v>
      </c>
    </row>
    <row r="227" spans="1:11" s="151" customFormat="1" ht="15.75">
      <c r="A227" s="144"/>
      <c r="B227" s="145"/>
      <c r="C227" s="146" t="s">
        <v>329</v>
      </c>
      <c r="D227" s="154"/>
      <c r="E227" s="154"/>
      <c r="F227" s="154"/>
      <c r="G227" s="154"/>
      <c r="H227" s="154"/>
      <c r="I227" s="168" t="s">
        <v>330</v>
      </c>
      <c r="J227" s="169"/>
      <c r="K227" s="168" t="s">
        <v>330</v>
      </c>
    </row>
    <row r="228" spans="1:11" s="151" customFormat="1" ht="15.75">
      <c r="A228" s="144"/>
      <c r="B228" s="145"/>
      <c r="C228" s="170" t="s">
        <v>428</v>
      </c>
      <c r="D228" s="154"/>
      <c r="E228" s="154"/>
      <c r="F228" s="154"/>
      <c r="G228" s="154"/>
      <c r="H228" s="154"/>
      <c r="I228" s="126">
        <f>K228</f>
        <v>99989600000</v>
      </c>
      <c r="J228" s="126"/>
      <c r="K228" s="126">
        <v>99989600000</v>
      </c>
    </row>
    <row r="229" spans="1:11" s="151" customFormat="1" ht="15.75">
      <c r="A229" s="144"/>
      <c r="B229" s="145"/>
      <c r="C229" s="170" t="s">
        <v>429</v>
      </c>
      <c r="D229" s="154"/>
      <c r="E229" s="154"/>
      <c r="F229" s="154"/>
      <c r="G229" s="154"/>
      <c r="H229" s="154"/>
      <c r="I229" s="126">
        <f>'[5]TM BCTC'!$I$242</f>
        <v>24979690000</v>
      </c>
      <c r="J229" s="126"/>
      <c r="K229" s="126"/>
    </row>
    <row r="230" spans="1:11" s="151" customFormat="1" ht="15.75">
      <c r="A230" s="144"/>
      <c r="B230" s="145"/>
      <c r="C230" s="170" t="s">
        <v>430</v>
      </c>
      <c r="D230" s="154"/>
      <c r="E230" s="154"/>
      <c r="F230" s="154"/>
      <c r="G230" s="154"/>
      <c r="H230" s="154"/>
      <c r="I230" s="126"/>
      <c r="J230" s="126"/>
      <c r="K230" s="126"/>
    </row>
    <row r="231" spans="1:11" s="151" customFormat="1" ht="16.5" thickBot="1">
      <c r="A231" s="144"/>
      <c r="B231" s="145"/>
      <c r="C231" s="170" t="s">
        <v>431</v>
      </c>
      <c r="D231" s="154"/>
      <c r="E231" s="154"/>
      <c r="F231" s="154"/>
      <c r="G231" s="154"/>
      <c r="H231" s="154"/>
      <c r="I231" s="161">
        <f>I228+I229-I230</f>
        <v>124969290000</v>
      </c>
      <c r="J231" s="57"/>
      <c r="K231" s="161">
        <f>K228+K229-K230</f>
        <v>99989600000</v>
      </c>
    </row>
    <row r="232" spans="1:11" s="151" customFormat="1" ht="16.5" thickTop="1">
      <c r="A232" s="144"/>
      <c r="B232" s="145"/>
      <c r="C232" s="150" t="s">
        <v>423</v>
      </c>
      <c r="D232" s="154"/>
      <c r="E232" s="154"/>
      <c r="F232" s="154"/>
      <c r="G232" s="154"/>
      <c r="H232" s="154"/>
      <c r="I232" s="155"/>
      <c r="J232" s="154"/>
      <c r="K232" s="171"/>
    </row>
    <row r="233" spans="1:11" s="151" customFormat="1" ht="15.75">
      <c r="A233" s="144"/>
      <c r="B233" s="145"/>
      <c r="C233" s="172" t="s">
        <v>432</v>
      </c>
      <c r="D233" s="154"/>
      <c r="E233" s="154"/>
      <c r="F233" s="154"/>
      <c r="G233" s="154"/>
      <c r="H233" s="154"/>
      <c r="I233" s="50" t="s">
        <v>573</v>
      </c>
      <c r="J233" s="51"/>
      <c r="K233" s="50" t="s">
        <v>563</v>
      </c>
    </row>
    <row r="234" spans="1:11" s="151" customFormat="1" ht="15.75">
      <c r="A234" s="144"/>
      <c r="B234" s="145"/>
      <c r="C234" s="146" t="s">
        <v>329</v>
      </c>
      <c r="D234" s="154"/>
      <c r="E234" s="154"/>
      <c r="F234" s="154"/>
      <c r="G234" s="154"/>
      <c r="H234" s="154"/>
      <c r="I234" s="168" t="s">
        <v>330</v>
      </c>
      <c r="J234" s="169"/>
      <c r="K234" s="168" t="s">
        <v>330</v>
      </c>
    </row>
    <row r="235" spans="1:11" s="151" customFormat="1" ht="15.75">
      <c r="A235" s="144"/>
      <c r="B235" s="145"/>
      <c r="C235" s="158" t="s">
        <v>433</v>
      </c>
      <c r="D235" s="154"/>
      <c r="E235" s="154"/>
      <c r="F235" s="154"/>
      <c r="G235" s="154"/>
      <c r="H235" s="154"/>
      <c r="I235" s="164">
        <f>I236</f>
        <v>12496929</v>
      </c>
      <c r="J235" s="173"/>
      <c r="K235" s="164">
        <f>K236</f>
        <v>1989960</v>
      </c>
    </row>
    <row r="236" spans="1:12" s="151" customFormat="1" ht="15.75">
      <c r="A236" s="144"/>
      <c r="B236" s="145"/>
      <c r="C236" s="158" t="s">
        <v>434</v>
      </c>
      <c r="D236" s="154"/>
      <c r="E236" s="154"/>
      <c r="F236" s="154"/>
      <c r="G236" s="154"/>
      <c r="H236" s="154"/>
      <c r="I236" s="174">
        <f>I237</f>
        <v>12496929</v>
      </c>
      <c r="J236" s="175"/>
      <c r="K236" s="174">
        <f>K237</f>
        <v>1989960</v>
      </c>
      <c r="L236" s="174"/>
    </row>
    <row r="237" spans="1:12" s="151" customFormat="1" ht="15.75">
      <c r="A237" s="144"/>
      <c r="B237" s="145"/>
      <c r="C237" s="158" t="s">
        <v>435</v>
      </c>
      <c r="D237" s="154"/>
      <c r="E237" s="154"/>
      <c r="F237" s="154"/>
      <c r="G237" s="154"/>
      <c r="H237" s="154"/>
      <c r="I237" s="174">
        <f>'[5]TM BCTC'!$I$249</f>
        <v>12496929</v>
      </c>
      <c r="J237" s="175"/>
      <c r="K237" s="174">
        <v>1989960</v>
      </c>
      <c r="L237" s="174"/>
    </row>
    <row r="238" spans="1:12" s="151" customFormat="1" ht="15.75">
      <c r="A238" s="144"/>
      <c r="B238" s="145"/>
      <c r="C238" s="158" t="s">
        <v>436</v>
      </c>
      <c r="D238" s="154"/>
      <c r="E238" s="154"/>
      <c r="F238" s="154"/>
      <c r="G238" s="154"/>
      <c r="H238" s="154"/>
      <c r="I238" s="174"/>
      <c r="J238" s="175"/>
      <c r="K238" s="174"/>
      <c r="L238" s="174"/>
    </row>
    <row r="239" spans="1:12" s="151" customFormat="1" ht="15.75">
      <c r="A239" s="144"/>
      <c r="B239" s="145"/>
      <c r="C239" s="158" t="s">
        <v>437</v>
      </c>
      <c r="D239" s="154"/>
      <c r="E239" s="154"/>
      <c r="F239" s="154"/>
      <c r="G239" s="154"/>
      <c r="H239" s="154"/>
      <c r="I239" s="174"/>
      <c r="J239" s="175"/>
      <c r="K239" s="174"/>
      <c r="L239" s="174"/>
    </row>
    <row r="240" spans="1:12" s="151" customFormat="1" ht="15.75">
      <c r="A240" s="144"/>
      <c r="B240" s="145"/>
      <c r="C240" s="158" t="s">
        <v>435</v>
      </c>
      <c r="D240" s="154"/>
      <c r="E240" s="154"/>
      <c r="F240" s="154"/>
      <c r="G240" s="154"/>
      <c r="H240" s="154"/>
      <c r="I240" s="174"/>
      <c r="J240" s="175"/>
      <c r="K240" s="174"/>
      <c r="L240" s="174"/>
    </row>
    <row r="241" spans="1:12" s="151" customFormat="1" ht="15.75">
      <c r="A241" s="144"/>
      <c r="B241" s="145"/>
      <c r="C241" s="158" t="s">
        <v>436</v>
      </c>
      <c r="D241" s="154"/>
      <c r="E241" s="154"/>
      <c r="F241" s="154"/>
      <c r="G241" s="154"/>
      <c r="H241" s="154"/>
      <c r="I241" s="174"/>
      <c r="J241" s="175"/>
      <c r="K241" s="174"/>
      <c r="L241" s="174"/>
    </row>
    <row r="242" spans="1:12" s="151" customFormat="1" ht="15.75">
      <c r="A242" s="144"/>
      <c r="B242" s="145"/>
      <c r="C242" s="158" t="s">
        <v>438</v>
      </c>
      <c r="D242" s="154"/>
      <c r="E242" s="154"/>
      <c r="F242" s="154"/>
      <c r="G242" s="154"/>
      <c r="H242" s="154"/>
      <c r="I242" s="176">
        <f>I243</f>
        <v>12496929</v>
      </c>
      <c r="J242" s="175"/>
      <c r="K242" s="176">
        <f>K243</f>
        <v>9989960</v>
      </c>
      <c r="L242" s="176"/>
    </row>
    <row r="243" spans="1:12" s="151" customFormat="1" ht="15.75">
      <c r="A243" s="144"/>
      <c r="B243" s="145"/>
      <c r="C243" s="158" t="s">
        <v>435</v>
      </c>
      <c r="D243" s="154"/>
      <c r="E243" s="154"/>
      <c r="F243" s="154"/>
      <c r="G243" s="154"/>
      <c r="H243" s="154"/>
      <c r="I243" s="174">
        <f>I237</f>
        <v>12496929</v>
      </c>
      <c r="J243" s="175"/>
      <c r="K243" s="174">
        <v>9989960</v>
      </c>
      <c r="L243" s="174"/>
    </row>
    <row r="244" spans="1:12" s="151" customFormat="1" ht="15.75">
      <c r="A244" s="144"/>
      <c r="B244" s="145"/>
      <c r="C244" s="158" t="s">
        <v>436</v>
      </c>
      <c r="D244" s="147"/>
      <c r="E244" s="147"/>
      <c r="F244" s="147"/>
      <c r="G244" s="148"/>
      <c r="H244" s="148"/>
      <c r="I244" s="149"/>
      <c r="J244" s="148"/>
      <c r="K244" s="148"/>
      <c r="L244" s="149"/>
    </row>
    <row r="245" spans="1:11" s="151" customFormat="1" ht="15.75">
      <c r="A245" s="144"/>
      <c r="B245" s="145"/>
      <c r="C245" s="107" t="s">
        <v>439</v>
      </c>
      <c r="D245" s="147"/>
      <c r="E245" s="147"/>
      <c r="F245" s="147"/>
      <c r="G245" s="148"/>
      <c r="H245" s="148"/>
      <c r="I245" s="149"/>
      <c r="J245" s="148"/>
      <c r="K245" s="171"/>
    </row>
    <row r="246" spans="1:11" s="151" customFormat="1" ht="15.75">
      <c r="A246" s="144"/>
      <c r="B246" s="145"/>
      <c r="C246" s="172" t="s">
        <v>440</v>
      </c>
      <c r="D246" s="147"/>
      <c r="E246" s="147"/>
      <c r="F246" s="147"/>
      <c r="G246" s="148"/>
      <c r="H246" s="148"/>
      <c r="I246" s="50" t="s">
        <v>573</v>
      </c>
      <c r="J246" s="51"/>
      <c r="K246" s="50" t="s">
        <v>563</v>
      </c>
    </row>
    <row r="247" spans="1:11" s="151" customFormat="1" ht="15.75">
      <c r="A247" s="144"/>
      <c r="B247" s="145"/>
      <c r="C247" s="146" t="s">
        <v>329</v>
      </c>
      <c r="D247" s="147"/>
      <c r="E247" s="147"/>
      <c r="F247" s="147"/>
      <c r="G247" s="148"/>
      <c r="H247" s="148"/>
      <c r="I247" s="168" t="s">
        <v>330</v>
      </c>
      <c r="J247" s="169"/>
      <c r="K247" s="168" t="s">
        <v>330</v>
      </c>
    </row>
    <row r="248" spans="1:11" s="151" customFormat="1" ht="15.75">
      <c r="A248" s="144"/>
      <c r="B248" s="145"/>
      <c r="C248" s="158" t="s">
        <v>441</v>
      </c>
      <c r="D248" s="147"/>
      <c r="E248" s="147"/>
      <c r="F248" s="147"/>
      <c r="G248" s="148"/>
      <c r="H248" s="148"/>
      <c r="I248" s="176">
        <f>K214</f>
        <v>5169176926</v>
      </c>
      <c r="J248" s="148"/>
      <c r="K248" s="176">
        <f>I248</f>
        <v>5169176926</v>
      </c>
    </row>
    <row r="249" spans="1:11" s="151" customFormat="1" ht="15.75">
      <c r="A249" s="144"/>
      <c r="B249" s="145"/>
      <c r="C249" s="158" t="s">
        <v>442</v>
      </c>
      <c r="D249" s="147"/>
      <c r="E249" s="147"/>
      <c r="F249" s="147"/>
      <c r="G249" s="148"/>
      <c r="H249" s="148"/>
      <c r="I249" s="176">
        <f>K215</f>
        <v>3296250989</v>
      </c>
      <c r="J249" s="148"/>
      <c r="K249" s="176">
        <f>I249</f>
        <v>3296250989</v>
      </c>
    </row>
    <row r="250" spans="1:11" s="151" customFormat="1" ht="15.75">
      <c r="A250" s="144"/>
      <c r="B250" s="145"/>
      <c r="C250" s="158" t="s">
        <v>443</v>
      </c>
      <c r="D250" s="147"/>
      <c r="E250" s="147"/>
      <c r="F250" s="147"/>
      <c r="G250" s="148"/>
      <c r="H250" s="148"/>
      <c r="I250" s="61"/>
      <c r="J250" s="59"/>
      <c r="K250" s="164"/>
    </row>
    <row r="251" spans="1:11" s="151" customFormat="1" ht="16.5" thickBot="1">
      <c r="A251" s="144"/>
      <c r="B251" s="145"/>
      <c r="C251" s="150" t="s">
        <v>423</v>
      </c>
      <c r="D251" s="147"/>
      <c r="E251" s="147"/>
      <c r="F251" s="147"/>
      <c r="G251" s="148"/>
      <c r="H251" s="148"/>
      <c r="I251" s="304">
        <f>SUM(I248:I250)</f>
        <v>8465427915</v>
      </c>
      <c r="J251" s="177"/>
      <c r="K251" s="304">
        <f>SUM(K248:K250)</f>
        <v>8465427915</v>
      </c>
    </row>
    <row r="252" spans="1:11" s="151" customFormat="1" ht="16.5" thickTop="1">
      <c r="A252" s="144"/>
      <c r="B252" s="145"/>
      <c r="C252" s="178"/>
      <c r="D252" s="147"/>
      <c r="E252" s="147"/>
      <c r="F252" s="147"/>
      <c r="G252" s="148"/>
      <c r="H252" s="148"/>
      <c r="I252" s="149"/>
      <c r="J252" s="148"/>
      <c r="K252" s="171"/>
    </row>
    <row r="253" spans="1:11" ht="15">
      <c r="A253" s="42" t="s">
        <v>444</v>
      </c>
      <c r="C253" s="104" t="s">
        <v>445</v>
      </c>
      <c r="G253" s="45"/>
      <c r="H253" s="45"/>
      <c r="I253" s="46"/>
      <c r="J253" s="45"/>
      <c r="K253" s="47"/>
    </row>
    <row r="254" spans="3:11" ht="15">
      <c r="C254" s="99"/>
      <c r="G254" s="45"/>
      <c r="H254" s="45"/>
      <c r="I254" s="46"/>
      <c r="J254" s="45"/>
      <c r="K254" s="47"/>
    </row>
    <row r="255" spans="1:11" ht="15">
      <c r="A255" s="42">
        <v>21</v>
      </c>
      <c r="C255" s="44" t="s">
        <v>446</v>
      </c>
      <c r="G255" s="45"/>
      <c r="H255" s="45"/>
      <c r="I255" s="167" t="s">
        <v>574</v>
      </c>
      <c r="J255" s="51"/>
      <c r="K255" s="167" t="s">
        <v>535</v>
      </c>
    </row>
    <row r="256" spans="3:11" ht="15">
      <c r="C256" s="44"/>
      <c r="G256" s="45"/>
      <c r="H256" s="45"/>
      <c r="I256" s="52" t="s">
        <v>330</v>
      </c>
      <c r="J256" s="53"/>
      <c r="K256" s="52" t="s">
        <v>330</v>
      </c>
    </row>
    <row r="257" spans="1:11" ht="15">
      <c r="A257" s="69"/>
      <c r="B257" s="24"/>
      <c r="C257" s="55" t="s">
        <v>447</v>
      </c>
      <c r="G257" s="179"/>
      <c r="H257" s="45"/>
      <c r="I257" s="130">
        <f>'KQKD quy'!D8</f>
        <v>23312732068</v>
      </c>
      <c r="J257" s="114"/>
      <c r="K257" s="130">
        <f>'KQKD quy'!F8</f>
        <v>86856741226</v>
      </c>
    </row>
    <row r="258" spans="1:11" ht="15">
      <c r="A258" s="69"/>
      <c r="B258" s="24"/>
      <c r="C258" s="55" t="s">
        <v>24</v>
      </c>
      <c r="G258" s="179"/>
      <c r="H258" s="45"/>
      <c r="I258" s="130"/>
      <c r="J258" s="114"/>
      <c r="K258" s="130"/>
    </row>
    <row r="259" spans="1:13" s="43" customFormat="1" ht="15.75" thickBot="1">
      <c r="A259" s="42"/>
      <c r="C259" s="44" t="s">
        <v>333</v>
      </c>
      <c r="G259" s="67"/>
      <c r="H259" s="67"/>
      <c r="I259" s="133">
        <f>I257</f>
        <v>23312732068</v>
      </c>
      <c r="J259" s="59"/>
      <c r="K259" s="133">
        <f>K257</f>
        <v>86856741226</v>
      </c>
      <c r="L259" s="213">
        <f>I259-'KQKD quy'!D8</f>
        <v>0</v>
      </c>
      <c r="M259" s="213">
        <f>K259-'KQKD quy'!F8</f>
        <v>0</v>
      </c>
    </row>
    <row r="260" spans="3:11" ht="15.75" thickTop="1">
      <c r="C260" s="44"/>
      <c r="G260" s="45"/>
      <c r="H260" s="45"/>
      <c r="I260" s="60"/>
      <c r="J260" s="59"/>
      <c r="K260" s="61"/>
    </row>
    <row r="261" spans="1:11" ht="15">
      <c r="A261" s="42">
        <v>22</v>
      </c>
      <c r="C261" s="44" t="s">
        <v>448</v>
      </c>
      <c r="G261" s="45"/>
      <c r="H261" s="45"/>
      <c r="I261" s="167" t="s">
        <v>574</v>
      </c>
      <c r="J261" s="51"/>
      <c r="K261" s="167" t="s">
        <v>535</v>
      </c>
    </row>
    <row r="262" spans="3:11" ht="15">
      <c r="C262" s="44"/>
      <c r="G262" s="45"/>
      <c r="H262" s="45"/>
      <c r="I262" s="52" t="s">
        <v>330</v>
      </c>
      <c r="J262" s="53"/>
      <c r="K262" s="52" t="s">
        <v>330</v>
      </c>
    </row>
    <row r="263" spans="1:11" ht="15">
      <c r="A263" s="54"/>
      <c r="C263" s="55" t="s">
        <v>449</v>
      </c>
      <c r="G263" s="45"/>
      <c r="H263" s="45"/>
      <c r="I263" s="180">
        <v>0</v>
      </c>
      <c r="J263" s="181"/>
      <c r="K263" s="180">
        <v>0</v>
      </c>
    </row>
    <row r="264" spans="1:11" ht="14.25">
      <c r="A264" s="54"/>
      <c r="B264" s="24"/>
      <c r="C264" s="55" t="s">
        <v>450</v>
      </c>
      <c r="G264" s="45"/>
      <c r="H264" s="45"/>
      <c r="I264" s="302">
        <f>'KQKD quy'!D9</f>
        <v>64296540</v>
      </c>
      <c r="J264" s="301">
        <v>0</v>
      </c>
      <c r="K264" s="302">
        <f>'KQKD quy'!F9</f>
        <v>893770874</v>
      </c>
    </row>
    <row r="265" spans="3:13" ht="15.75" thickBot="1">
      <c r="C265" s="44" t="s">
        <v>333</v>
      </c>
      <c r="G265" s="45"/>
      <c r="H265" s="45"/>
      <c r="I265" s="303">
        <f>I264+I263</f>
        <v>64296540</v>
      </c>
      <c r="J265" s="59"/>
      <c r="K265" s="303">
        <f>K264+K263</f>
        <v>893770874</v>
      </c>
      <c r="L265" s="215"/>
      <c r="M265" s="215"/>
    </row>
    <row r="266" spans="3:11" ht="15.75" thickTop="1">
      <c r="C266" s="99"/>
      <c r="G266" s="45"/>
      <c r="H266" s="45"/>
      <c r="I266" s="46"/>
      <c r="J266" s="45"/>
      <c r="K266" s="47"/>
    </row>
    <row r="267" spans="1:11" ht="15">
      <c r="A267" s="49">
        <v>23</v>
      </c>
      <c r="C267" s="44" t="s">
        <v>451</v>
      </c>
      <c r="G267" s="45"/>
      <c r="H267" s="45"/>
      <c r="I267" s="167" t="s">
        <v>574</v>
      </c>
      <c r="J267" s="51"/>
      <c r="K267" s="167" t="str">
        <f>K261</f>
        <v>Luü kÕ</v>
      </c>
    </row>
    <row r="268" spans="3:11" ht="15">
      <c r="C268" s="44"/>
      <c r="G268" s="45"/>
      <c r="H268" s="45"/>
      <c r="I268" s="52" t="s">
        <v>330</v>
      </c>
      <c r="J268" s="53"/>
      <c r="K268" s="52" t="s">
        <v>330</v>
      </c>
    </row>
    <row r="269" spans="1:11" ht="15">
      <c r="A269" s="54"/>
      <c r="C269" s="55" t="s">
        <v>452</v>
      </c>
      <c r="G269" s="45"/>
      <c r="H269" s="45"/>
      <c r="I269" s="180">
        <v>0</v>
      </c>
      <c r="J269" s="114"/>
      <c r="K269" s="180">
        <v>0</v>
      </c>
    </row>
    <row r="270" spans="1:11" ht="15">
      <c r="A270" s="54"/>
      <c r="C270" s="55" t="s">
        <v>453</v>
      </c>
      <c r="G270" s="45"/>
      <c r="H270" s="45"/>
      <c r="I270" s="302">
        <f>I257-I264</f>
        <v>23248435528</v>
      </c>
      <c r="J270" s="114"/>
      <c r="K270" s="302">
        <f>K257-K264</f>
        <v>85962970352</v>
      </c>
    </row>
    <row r="271" spans="1:11" ht="15">
      <c r="A271" s="54"/>
      <c r="C271" s="55" t="s">
        <v>454</v>
      </c>
      <c r="G271" s="45"/>
      <c r="H271" s="45"/>
      <c r="I271" s="180">
        <v>0</v>
      </c>
      <c r="J271" s="114"/>
      <c r="K271" s="180">
        <v>0</v>
      </c>
    </row>
    <row r="272" spans="3:13" ht="15.75" thickBot="1">
      <c r="C272" s="44" t="s">
        <v>333</v>
      </c>
      <c r="G272" s="45"/>
      <c r="H272" s="45"/>
      <c r="I272" s="133">
        <f>+I270+I269+I271</f>
        <v>23248435528</v>
      </c>
      <c r="J272" s="59"/>
      <c r="K272" s="133">
        <f>+K270+K269+K271</f>
        <v>85962970352</v>
      </c>
      <c r="L272" s="215"/>
      <c r="M272" s="215"/>
    </row>
    <row r="273" spans="1:11" ht="15.75" thickTop="1">
      <c r="A273" s="49">
        <v>24</v>
      </c>
      <c r="C273" s="44" t="s">
        <v>455</v>
      </c>
      <c r="G273" s="45"/>
      <c r="H273" s="45"/>
      <c r="I273" s="167" t="str">
        <f>I255</f>
        <v>Quý III</v>
      </c>
      <c r="J273" s="51"/>
      <c r="K273" s="167" t="str">
        <f>K267</f>
        <v>Luü kÕ</v>
      </c>
    </row>
    <row r="274" spans="3:11" ht="15">
      <c r="C274" s="44"/>
      <c r="G274" s="45"/>
      <c r="H274" s="45"/>
      <c r="I274" s="52" t="s">
        <v>330</v>
      </c>
      <c r="J274" s="53"/>
      <c r="K274" s="52" t="s">
        <v>330</v>
      </c>
    </row>
    <row r="275" spans="1:11" ht="14.25">
      <c r="A275" s="54"/>
      <c r="B275" s="24"/>
      <c r="C275" s="55" t="s">
        <v>456</v>
      </c>
      <c r="G275" s="45"/>
      <c r="H275" s="45"/>
      <c r="I275" s="188">
        <v>0</v>
      </c>
      <c r="J275" s="181"/>
      <c r="K275" s="180">
        <v>0</v>
      </c>
    </row>
    <row r="276" spans="1:13" ht="14.25">
      <c r="A276" s="54"/>
      <c r="B276" s="24"/>
      <c r="C276" s="55" t="s">
        <v>457</v>
      </c>
      <c r="G276" s="190"/>
      <c r="H276" s="45"/>
      <c r="I276" s="180">
        <f>'KQKD quy'!D11</f>
        <v>16125318779</v>
      </c>
      <c r="J276" s="181"/>
      <c r="K276" s="180">
        <f>'KQKD quy'!F11</f>
        <v>65497234299</v>
      </c>
      <c r="L276" s="215"/>
      <c r="M276" s="215"/>
    </row>
    <row r="277" spans="1:11" ht="14.25">
      <c r="A277" s="54"/>
      <c r="B277" s="24"/>
      <c r="C277" s="55" t="s">
        <v>458</v>
      </c>
      <c r="G277" s="45"/>
      <c r="H277" s="45"/>
      <c r="I277" s="56"/>
      <c r="J277" s="114"/>
      <c r="K277" s="56"/>
    </row>
    <row r="278" spans="1:11" s="24" customFormat="1" ht="15.75" thickBot="1">
      <c r="A278" s="42"/>
      <c r="B278" s="43"/>
      <c r="C278" s="44" t="s">
        <v>333</v>
      </c>
      <c r="G278" s="45"/>
      <c r="H278" s="45"/>
      <c r="I278" s="108">
        <f>I277+I276</f>
        <v>16125318779</v>
      </c>
      <c r="J278" s="59"/>
      <c r="K278" s="108">
        <f>K277+K276</f>
        <v>65497234299</v>
      </c>
    </row>
    <row r="279" spans="3:11" ht="15.75" thickTop="1">
      <c r="C279" s="44"/>
      <c r="G279" s="45"/>
      <c r="H279" s="45"/>
      <c r="I279" s="60"/>
      <c r="J279" s="59"/>
      <c r="K279" s="61"/>
    </row>
    <row r="280" spans="1:11" ht="15">
      <c r="A280" s="49">
        <v>25</v>
      </c>
      <c r="C280" s="44" t="s">
        <v>459</v>
      </c>
      <c r="G280" s="45"/>
      <c r="H280" s="45"/>
      <c r="I280" s="167" t="str">
        <f>I273</f>
        <v>Quý III</v>
      </c>
      <c r="J280" s="51"/>
      <c r="K280" s="167" t="str">
        <f>K273</f>
        <v>Luü kÕ</v>
      </c>
    </row>
    <row r="281" spans="3:11" ht="15">
      <c r="C281" s="44" t="s">
        <v>329</v>
      </c>
      <c r="G281" s="45"/>
      <c r="H281" s="45"/>
      <c r="I281" s="52" t="s">
        <v>330</v>
      </c>
      <c r="J281" s="53"/>
      <c r="K281" s="52" t="s">
        <v>330</v>
      </c>
    </row>
    <row r="282" spans="1:11" ht="14.25">
      <c r="A282" s="54"/>
      <c r="B282" s="24"/>
      <c r="C282" s="55" t="s">
        <v>510</v>
      </c>
      <c r="G282" s="45"/>
      <c r="H282" s="45"/>
      <c r="I282" s="180">
        <f>'KQKD quy'!D13</f>
        <v>22247173</v>
      </c>
      <c r="J282" s="181"/>
      <c r="K282" s="180">
        <f>'KQKD quy'!F13</f>
        <v>1894079741</v>
      </c>
    </row>
    <row r="283" spans="3:13" ht="15.75" thickBot="1">
      <c r="C283" s="44" t="s">
        <v>333</v>
      </c>
      <c r="G283" s="45"/>
      <c r="H283" s="45"/>
      <c r="I283" s="108">
        <f>+I282</f>
        <v>22247173</v>
      </c>
      <c r="J283" s="59"/>
      <c r="K283" s="108">
        <f>+K282</f>
        <v>1894079741</v>
      </c>
      <c r="L283" s="215"/>
      <c r="M283" s="215"/>
    </row>
    <row r="284" spans="3:11" ht="15.75" thickTop="1">
      <c r="C284" s="99"/>
      <c r="G284" s="45"/>
      <c r="H284" s="45"/>
      <c r="I284" s="46"/>
      <c r="J284" s="45"/>
      <c r="K284" s="47"/>
    </row>
    <row r="285" spans="1:11" ht="15">
      <c r="A285" s="49">
        <v>26</v>
      </c>
      <c r="C285" s="44" t="s">
        <v>460</v>
      </c>
      <c r="G285" s="45"/>
      <c r="H285" s="45"/>
      <c r="I285" s="167" t="str">
        <f>I280</f>
        <v>Quý III</v>
      </c>
      <c r="J285" s="51"/>
      <c r="K285" s="167" t="str">
        <f>K280</f>
        <v>Luü kÕ</v>
      </c>
    </row>
    <row r="286" spans="3:11" ht="15">
      <c r="C286" s="44"/>
      <c r="G286" s="45"/>
      <c r="H286" s="45"/>
      <c r="I286" s="52" t="s">
        <v>330</v>
      </c>
      <c r="J286" s="53"/>
      <c r="K286" s="52" t="s">
        <v>330</v>
      </c>
    </row>
    <row r="287" spans="1:11" ht="15">
      <c r="A287" s="54"/>
      <c r="C287" s="55" t="s">
        <v>511</v>
      </c>
      <c r="G287" s="45"/>
      <c r="H287" s="45"/>
      <c r="I287" s="56">
        <f>'KQKD quy'!D14</f>
        <v>2695934315</v>
      </c>
      <c r="J287" s="53"/>
      <c r="K287" s="56">
        <f>'KQKD quy'!F14</f>
        <v>6704551344</v>
      </c>
    </row>
    <row r="288" spans="3:13" ht="15.75" thickBot="1">
      <c r="C288" s="44" t="s">
        <v>333</v>
      </c>
      <c r="G288" s="45"/>
      <c r="H288" s="45"/>
      <c r="I288" s="108">
        <f>SUM(I287:I287)</f>
        <v>2695934315</v>
      </c>
      <c r="J288" s="59"/>
      <c r="K288" s="108">
        <f>SUM(K287:K287)</f>
        <v>6704551344</v>
      </c>
      <c r="L288" s="215"/>
      <c r="M288" s="215"/>
    </row>
    <row r="289" spans="3:11" ht="15.75" thickTop="1">
      <c r="C289" s="99"/>
      <c r="G289" s="45"/>
      <c r="H289" s="45"/>
      <c r="I289" s="46"/>
      <c r="J289" s="45"/>
      <c r="K289" s="47"/>
    </row>
    <row r="290" spans="1:11" ht="15">
      <c r="A290" s="49">
        <v>27</v>
      </c>
      <c r="C290" s="44" t="s">
        <v>461</v>
      </c>
      <c r="G290" s="45"/>
      <c r="H290" s="45"/>
      <c r="I290" s="167" t="str">
        <f>I285</f>
        <v>Quý III</v>
      </c>
      <c r="J290" s="51"/>
      <c r="K290" s="167" t="str">
        <f>K285</f>
        <v>Luü kÕ</v>
      </c>
    </row>
    <row r="291" spans="3:11" ht="15">
      <c r="C291" s="44" t="s">
        <v>329</v>
      </c>
      <c r="G291" s="45"/>
      <c r="H291" s="45"/>
      <c r="I291" s="52" t="s">
        <v>330</v>
      </c>
      <c r="J291" s="53"/>
      <c r="K291" s="52" t="s">
        <v>330</v>
      </c>
    </row>
    <row r="292" spans="1:11" s="187" customFormat="1" ht="27.75" customHeight="1">
      <c r="A292" s="182"/>
      <c r="B292" s="183"/>
      <c r="C292" s="382" t="s">
        <v>462</v>
      </c>
      <c r="D292" s="382"/>
      <c r="E292" s="382"/>
      <c r="F292" s="382"/>
      <c r="G292" s="382"/>
      <c r="H292" s="184"/>
      <c r="I292" s="185">
        <f>'KQKD quy'!D24</f>
        <v>339089243</v>
      </c>
      <c r="J292" s="186"/>
      <c r="K292" s="185">
        <f>'KQKD quy'!F24</f>
        <v>1621358270</v>
      </c>
    </row>
    <row r="293" spans="1:11" s="24" customFormat="1" ht="15.75" thickBot="1">
      <c r="A293" s="42"/>
      <c r="B293" s="43"/>
      <c r="C293" s="44" t="s">
        <v>333</v>
      </c>
      <c r="G293" s="45"/>
      <c r="H293" s="45"/>
      <c r="I293" s="108">
        <f>+I292</f>
        <v>339089243</v>
      </c>
      <c r="J293" s="59"/>
      <c r="K293" s="108">
        <f>+K292</f>
        <v>1621358270</v>
      </c>
    </row>
    <row r="294" spans="1:11" s="24" customFormat="1" ht="15.75" thickTop="1">
      <c r="A294" s="42"/>
      <c r="B294" s="43"/>
      <c r="C294" s="44"/>
      <c r="G294" s="45"/>
      <c r="H294" s="45"/>
      <c r="I294" s="61"/>
      <c r="J294" s="59"/>
      <c r="K294" s="61"/>
    </row>
    <row r="295" spans="1:11" ht="15">
      <c r="A295" s="142">
        <v>28</v>
      </c>
      <c r="C295" s="143" t="s">
        <v>463</v>
      </c>
      <c r="G295" s="45"/>
      <c r="H295" s="45"/>
      <c r="I295" s="167" t="str">
        <f>I290</f>
        <v>Quý III</v>
      </c>
      <c r="J295" s="51"/>
      <c r="K295" s="167" t="str">
        <f>K290</f>
        <v>Luü kÕ</v>
      </c>
    </row>
    <row r="296" spans="3:11" ht="15">
      <c r="C296" s="189" t="s">
        <v>329</v>
      </c>
      <c r="G296" s="45"/>
      <c r="H296" s="45"/>
      <c r="I296" s="52" t="s">
        <v>330</v>
      </c>
      <c r="J296" s="53"/>
      <c r="K296" s="52" t="s">
        <v>330</v>
      </c>
    </row>
    <row r="297" spans="1:11" ht="15">
      <c r="A297" s="54"/>
      <c r="C297" s="55" t="s">
        <v>464</v>
      </c>
      <c r="G297" s="190"/>
      <c r="H297" s="45"/>
      <c r="I297" s="40">
        <f>'[5]TM BCTC'!$I$319</f>
        <v>1282451589</v>
      </c>
      <c r="J297" s="114"/>
      <c r="K297" s="40">
        <f>'[5]TM BCTC'!$K$319</f>
        <v>5084062925</v>
      </c>
    </row>
    <row r="298" spans="1:11" ht="15">
      <c r="A298" s="54"/>
      <c r="C298" s="55" t="s">
        <v>465</v>
      </c>
      <c r="G298" s="190"/>
      <c r="H298" s="45"/>
      <c r="I298" s="56">
        <f>'[5]TM BCTC'!$I$320</f>
        <v>2999485607</v>
      </c>
      <c r="J298" s="114"/>
      <c r="K298" s="56">
        <f>'[5]TM BCTC'!$K$320</f>
        <v>11514837101</v>
      </c>
    </row>
    <row r="299" spans="1:11" ht="15">
      <c r="A299" s="54"/>
      <c r="C299" s="55" t="s">
        <v>25</v>
      </c>
      <c r="G299" s="190"/>
      <c r="H299" s="45"/>
      <c r="I299" s="56">
        <f>'[5]TM BCTC'!$I$321</f>
        <v>11861061411</v>
      </c>
      <c r="J299" s="114"/>
      <c r="K299" s="56">
        <f>'[5]TM BCTC'!$K$321</f>
        <v>45935932584</v>
      </c>
    </row>
    <row r="300" spans="1:11" ht="15">
      <c r="A300" s="54"/>
      <c r="C300" s="55" t="s">
        <v>466</v>
      </c>
      <c r="G300" s="45"/>
      <c r="H300" s="45"/>
      <c r="I300" s="56">
        <f>'[5]TM BCTC'!$I$322</f>
        <v>2493447914</v>
      </c>
      <c r="J300" s="114"/>
      <c r="K300" s="56">
        <f>'[5]TM BCTC'!$K$322</f>
        <v>7512867239</v>
      </c>
    </row>
    <row r="301" spans="1:11" ht="15">
      <c r="A301" s="54"/>
      <c r="C301" s="55" t="s">
        <v>467</v>
      </c>
      <c r="G301" s="45"/>
      <c r="H301" s="45"/>
      <c r="I301" s="56">
        <f>'[5]TM BCTC'!$I$323</f>
        <v>2225279618</v>
      </c>
      <c r="J301" s="114"/>
      <c r="K301" s="56">
        <f>'[5]TM BCTC'!$K$323</f>
        <v>7997144575</v>
      </c>
    </row>
    <row r="302" spans="1:11" ht="15">
      <c r="A302" s="54"/>
      <c r="C302" s="55" t="s">
        <v>468</v>
      </c>
      <c r="G302" s="45"/>
      <c r="H302" s="45"/>
      <c r="I302" s="56">
        <f>'[5]TM BCTC'!$I$324+38480647</f>
        <v>1079696408</v>
      </c>
      <c r="J302" s="114"/>
      <c r="K302" s="56">
        <f>'[5]TM BCTC'!$K$324+180321132</f>
        <v>3818612770</v>
      </c>
    </row>
    <row r="303" spans="1:11" s="24" customFormat="1" ht="15">
      <c r="A303" s="42"/>
      <c r="B303" s="43"/>
      <c r="C303" s="44"/>
      <c r="G303" s="45">
        <f>SUM(G298:G302)</f>
        <v>0</v>
      </c>
      <c r="H303" s="45"/>
      <c r="I303" s="164"/>
      <c r="J303" s="59"/>
      <c r="K303" s="61"/>
    </row>
    <row r="304" spans="1:13" s="24" customFormat="1" ht="15.75" thickBot="1">
      <c r="A304" s="42"/>
      <c r="B304" s="43"/>
      <c r="C304" s="44" t="s">
        <v>333</v>
      </c>
      <c r="G304" s="216"/>
      <c r="H304" s="45"/>
      <c r="I304" s="133">
        <f>SUM(I297:I303)</f>
        <v>21941422547</v>
      </c>
      <c r="J304" s="59"/>
      <c r="K304" s="133">
        <f>SUM(K297:K303)</f>
        <v>81863457194</v>
      </c>
      <c r="L304" s="109">
        <f>'KQKD quy'!D11+'KQKD quy'!D14+'KQKD quy'!D17+'KQKD quy'!D20</f>
        <v>21941422547</v>
      </c>
      <c r="M304" s="109">
        <f>'KQKD quy'!F11+'KQKD quy'!F14+'KQKD quy'!F17+'KQKD quy'!F20</f>
        <v>81863457194</v>
      </c>
    </row>
    <row r="305" spans="1:13" s="24" customFormat="1" ht="15.75" thickTop="1">
      <c r="A305" s="42"/>
      <c r="B305" s="43"/>
      <c r="C305" s="44"/>
      <c r="G305" s="216"/>
      <c r="H305" s="45"/>
      <c r="I305" s="164"/>
      <c r="J305" s="59"/>
      <c r="K305" s="61"/>
      <c r="L305" s="109">
        <f>L304-I304</f>
        <v>0</v>
      </c>
      <c r="M305" s="109">
        <f>M304-K304</f>
        <v>0</v>
      </c>
    </row>
    <row r="306" spans="1:13" s="24" customFormat="1" ht="15">
      <c r="A306" s="42"/>
      <c r="B306" s="43"/>
      <c r="C306" s="44"/>
      <c r="G306" s="216"/>
      <c r="H306" s="45"/>
      <c r="I306" s="164"/>
      <c r="J306" s="59"/>
      <c r="K306" s="61"/>
      <c r="L306" s="109"/>
      <c r="M306" s="109"/>
    </row>
    <row r="307" spans="1:13" s="24" customFormat="1" ht="15">
      <c r="A307" s="42"/>
      <c r="B307" s="43"/>
      <c r="C307" s="44"/>
      <c r="G307" s="216"/>
      <c r="H307" s="45"/>
      <c r="I307" s="164"/>
      <c r="J307" s="59"/>
      <c r="K307" s="61"/>
      <c r="L307" s="109"/>
      <c r="M307" s="109"/>
    </row>
    <row r="308" spans="1:13" s="24" customFormat="1" ht="15">
      <c r="A308" s="42"/>
      <c r="B308" s="43"/>
      <c r="C308" s="44"/>
      <c r="G308" s="216"/>
      <c r="H308" s="45"/>
      <c r="I308" s="164"/>
      <c r="J308" s="59"/>
      <c r="K308" s="61"/>
      <c r="L308" s="109"/>
      <c r="M308" s="109"/>
    </row>
    <row r="309" spans="1:13" s="24" customFormat="1" ht="15">
      <c r="A309" s="42"/>
      <c r="B309" s="43"/>
      <c r="C309" s="44"/>
      <c r="G309" s="216"/>
      <c r="H309" s="45"/>
      <c r="I309" s="164"/>
      <c r="J309" s="59"/>
      <c r="K309" s="61"/>
      <c r="L309" s="109"/>
      <c r="M309" s="109"/>
    </row>
    <row r="310" spans="1:13" s="24" customFormat="1" ht="15">
      <c r="A310" s="42"/>
      <c r="B310" s="43"/>
      <c r="C310" s="44"/>
      <c r="G310" s="216"/>
      <c r="H310" s="45"/>
      <c r="I310" s="164"/>
      <c r="J310" s="59"/>
      <c r="K310" s="61"/>
      <c r="L310" s="109"/>
      <c r="M310" s="109"/>
    </row>
    <row r="311" spans="1:13" s="24" customFormat="1" ht="15">
      <c r="A311" s="42"/>
      <c r="B311" s="43"/>
      <c r="C311" s="44"/>
      <c r="G311" s="216"/>
      <c r="H311" s="45"/>
      <c r="I311" s="164"/>
      <c r="J311" s="59"/>
      <c r="K311" s="61"/>
      <c r="L311" s="109"/>
      <c r="M311" s="109"/>
    </row>
    <row r="312" spans="1:13" s="24" customFormat="1" ht="15">
      <c r="A312" s="42"/>
      <c r="B312" s="43"/>
      <c r="C312" s="44"/>
      <c r="G312" s="216"/>
      <c r="H312" s="45"/>
      <c r="I312" s="164"/>
      <c r="J312" s="59"/>
      <c r="K312" s="61"/>
      <c r="L312" s="109"/>
      <c r="M312" s="109"/>
    </row>
    <row r="313" spans="1:13" s="24" customFormat="1" ht="15">
      <c r="A313" s="42"/>
      <c r="B313" s="43"/>
      <c r="C313" s="44"/>
      <c r="G313" s="216"/>
      <c r="H313" s="45"/>
      <c r="I313" s="164"/>
      <c r="J313" s="59"/>
      <c r="K313" s="61"/>
      <c r="L313" s="109"/>
      <c r="M313" s="109"/>
    </row>
    <row r="314" spans="1:13" s="24" customFormat="1" ht="15">
      <c r="A314" s="42"/>
      <c r="B314" s="43"/>
      <c r="C314" s="44"/>
      <c r="G314" s="216"/>
      <c r="H314" s="45"/>
      <c r="I314" s="164"/>
      <c r="J314" s="59"/>
      <c r="K314" s="61"/>
      <c r="L314" s="109"/>
      <c r="M314" s="109"/>
    </row>
    <row r="315" spans="1:13" s="24" customFormat="1" ht="15">
      <c r="A315" s="42"/>
      <c r="B315" s="43"/>
      <c r="C315" s="44"/>
      <c r="G315" s="216"/>
      <c r="H315" s="45"/>
      <c r="I315" s="164"/>
      <c r="J315" s="59"/>
      <c r="K315" s="61"/>
      <c r="L315" s="109"/>
      <c r="M315" s="109"/>
    </row>
    <row r="316" spans="1:13" s="24" customFormat="1" ht="15">
      <c r="A316" s="42"/>
      <c r="B316" s="43"/>
      <c r="C316" s="44"/>
      <c r="G316" s="216"/>
      <c r="H316" s="45"/>
      <c r="I316" s="164"/>
      <c r="J316" s="59"/>
      <c r="K316" s="61"/>
      <c r="L316" s="109"/>
      <c r="M316" s="109"/>
    </row>
    <row r="317" spans="1:13" s="24" customFormat="1" ht="15">
      <c r="A317" s="42"/>
      <c r="B317" s="43"/>
      <c r="C317" s="44"/>
      <c r="G317" s="216"/>
      <c r="H317" s="45"/>
      <c r="I317" s="164"/>
      <c r="J317" s="59"/>
      <c r="K317" s="61"/>
      <c r="L317" s="109"/>
      <c r="M317" s="109"/>
    </row>
    <row r="318" spans="1:13" s="24" customFormat="1" ht="15">
      <c r="A318" s="42"/>
      <c r="B318" s="43"/>
      <c r="C318" s="44"/>
      <c r="G318" s="216"/>
      <c r="H318" s="45"/>
      <c r="I318" s="164"/>
      <c r="J318" s="59"/>
      <c r="K318" s="61"/>
      <c r="L318" s="109"/>
      <c r="M318" s="109"/>
    </row>
    <row r="319" spans="1:13" s="24" customFormat="1" ht="15">
      <c r="A319" s="42"/>
      <c r="B319" s="43"/>
      <c r="C319" s="44"/>
      <c r="G319" s="216"/>
      <c r="H319" s="45"/>
      <c r="I319" s="164"/>
      <c r="J319" s="59"/>
      <c r="K319" s="61"/>
      <c r="L319" s="109"/>
      <c r="M319" s="109"/>
    </row>
    <row r="320" spans="1:13" s="24" customFormat="1" ht="15">
      <c r="A320" s="42"/>
      <c r="B320" s="43"/>
      <c r="C320" s="44"/>
      <c r="G320" s="216"/>
      <c r="H320" s="45"/>
      <c r="I320" s="164"/>
      <c r="J320" s="59"/>
      <c r="K320" s="61"/>
      <c r="L320" s="109"/>
      <c r="M320" s="109"/>
    </row>
    <row r="321" spans="1:13" s="24" customFormat="1" ht="15">
      <c r="A321" s="42"/>
      <c r="B321" s="43"/>
      <c r="C321" s="44"/>
      <c r="G321" s="216"/>
      <c r="H321" s="45"/>
      <c r="I321" s="164"/>
      <c r="J321" s="59"/>
      <c r="K321" s="61"/>
      <c r="L321" s="109"/>
      <c r="M321" s="109"/>
    </row>
    <row r="322" spans="1:13" s="24" customFormat="1" ht="15">
      <c r="A322" s="42"/>
      <c r="B322" s="43"/>
      <c r="C322" s="44"/>
      <c r="G322" s="216"/>
      <c r="H322" s="45"/>
      <c r="I322" s="164"/>
      <c r="J322" s="59"/>
      <c r="K322" s="61"/>
      <c r="L322" s="109"/>
      <c r="M322" s="109"/>
    </row>
    <row r="323" spans="1:13" s="24" customFormat="1" ht="15">
      <c r="A323" s="42"/>
      <c r="B323" s="43"/>
      <c r="C323" s="44"/>
      <c r="G323" s="216"/>
      <c r="H323" s="45"/>
      <c r="I323" s="164"/>
      <c r="J323" s="59"/>
      <c r="K323" s="61"/>
      <c r="L323" s="109"/>
      <c r="M323" s="109"/>
    </row>
    <row r="324" spans="1:13" s="24" customFormat="1" ht="15">
      <c r="A324" s="42"/>
      <c r="B324" s="43"/>
      <c r="C324" s="44"/>
      <c r="G324" s="216"/>
      <c r="H324" s="45"/>
      <c r="I324" s="164"/>
      <c r="J324" s="59"/>
      <c r="K324" s="61"/>
      <c r="L324" s="109"/>
      <c r="M324" s="109"/>
    </row>
    <row r="325" spans="1:13" s="24" customFormat="1" ht="15">
      <c r="A325" s="42"/>
      <c r="B325" s="43"/>
      <c r="C325" s="44"/>
      <c r="G325" s="216"/>
      <c r="H325" s="45"/>
      <c r="I325" s="164"/>
      <c r="J325" s="59"/>
      <c r="K325" s="61"/>
      <c r="L325" s="109"/>
      <c r="M325" s="109"/>
    </row>
    <row r="326" spans="1:13" s="24" customFormat="1" ht="15">
      <c r="A326" s="42">
        <v>29</v>
      </c>
      <c r="B326" s="43"/>
      <c r="C326" s="44" t="s">
        <v>26</v>
      </c>
      <c r="G326" s="216"/>
      <c r="H326" s="45"/>
      <c r="I326" s="164"/>
      <c r="J326" s="59"/>
      <c r="K326" s="61"/>
      <c r="L326" s="109"/>
      <c r="M326" s="109"/>
    </row>
    <row r="327" spans="1:13" s="24" customFormat="1" ht="15" customHeight="1">
      <c r="A327" s="49">
        <v>8</v>
      </c>
      <c r="B327" s="43"/>
      <c r="C327" s="384" t="s">
        <v>536</v>
      </c>
      <c r="D327" s="384"/>
      <c r="E327" s="384"/>
      <c r="F327" s="384"/>
      <c r="G327" s="384"/>
      <c r="H327" s="384"/>
      <c r="I327" s="384"/>
      <c r="J327" s="384"/>
      <c r="K327" s="384"/>
      <c r="L327" s="109"/>
      <c r="M327" s="109"/>
    </row>
    <row r="328" spans="1:13" s="24" customFormat="1" ht="15">
      <c r="A328" s="42"/>
      <c r="B328" s="43"/>
      <c r="C328" s="317" t="s">
        <v>537</v>
      </c>
      <c r="D328" s="318"/>
      <c r="E328" s="318"/>
      <c r="F328" s="319"/>
      <c r="G328" s="320" t="s">
        <v>538</v>
      </c>
      <c r="H328" s="321"/>
      <c r="I328" s="400" t="s">
        <v>575</v>
      </c>
      <c r="J328" s="322"/>
      <c r="K328" s="352" t="s">
        <v>563</v>
      </c>
      <c r="L328" s="109"/>
      <c r="M328" s="109"/>
    </row>
    <row r="329" spans="1:13" s="24" customFormat="1" ht="15">
      <c r="A329" s="42"/>
      <c r="B329" s="43"/>
      <c r="C329" s="323" t="s">
        <v>539</v>
      </c>
      <c r="D329" s="38"/>
      <c r="G329" s="324"/>
      <c r="H329" s="45"/>
      <c r="I329" s="325"/>
      <c r="J329" s="326"/>
      <c r="K329" s="327"/>
      <c r="L329" s="109"/>
      <c r="M329" s="109"/>
    </row>
    <row r="330" spans="1:13" s="24" customFormat="1" ht="15">
      <c r="A330" s="42"/>
      <c r="B330" s="43"/>
      <c r="C330" s="328" t="s">
        <v>540</v>
      </c>
      <c r="D330" s="38"/>
      <c r="G330" s="329"/>
      <c r="H330" s="45"/>
      <c r="I330" s="330"/>
      <c r="J330" s="326"/>
      <c r="K330" s="331"/>
      <c r="L330" s="109"/>
      <c r="M330" s="109"/>
    </row>
    <row r="331" spans="1:13" s="24" customFormat="1" ht="15">
      <c r="A331" s="42"/>
      <c r="B331" s="43"/>
      <c r="C331" s="332" t="s">
        <v>541</v>
      </c>
      <c r="D331" s="38"/>
      <c r="G331" s="333" t="s">
        <v>542</v>
      </c>
      <c r="H331" s="45"/>
      <c r="I331" s="334">
        <f>'BẢNG CÂN ĐỐI KẾ TOÁN'!D9/'BẢNG CÂN ĐỐI KẾ TOÁN'!D62</f>
        <v>0.6379272495810752</v>
      </c>
      <c r="J331" s="335"/>
      <c r="K331" s="334">
        <f>'BẢNG CÂN ĐỐI KẾ TOÁN'!E9/'BẢNG CÂN ĐỐI KẾ TOÁN'!E62</f>
        <v>0.6372396174009523</v>
      </c>
      <c r="L331" s="109"/>
      <c r="M331" s="109"/>
    </row>
    <row r="332" spans="1:13" s="24" customFormat="1" ht="15">
      <c r="A332" s="42"/>
      <c r="B332" s="43"/>
      <c r="C332" s="332" t="s">
        <v>543</v>
      </c>
      <c r="D332" s="38"/>
      <c r="G332" s="333" t="s">
        <v>542</v>
      </c>
      <c r="H332" s="45"/>
      <c r="I332" s="334">
        <f>'BẢNG CÂN ĐỐI KẾ TOÁN'!D31/'BẢNG CÂN ĐỐI KẾ TOÁN'!D62</f>
        <v>0.36207275041892484</v>
      </c>
      <c r="J332" s="335"/>
      <c r="K332" s="334">
        <f>'BẢNG CÂN ĐỐI KẾ TOÁN'!E31/'BẢNG CÂN ĐỐI KẾ TOÁN'!E62</f>
        <v>0.36276038259904775</v>
      </c>
      <c r="L332" s="109"/>
      <c r="M332" s="109"/>
    </row>
    <row r="333" spans="1:13" s="24" customFormat="1" ht="15">
      <c r="A333" s="42"/>
      <c r="B333" s="43"/>
      <c r="C333" s="328" t="s">
        <v>544</v>
      </c>
      <c r="D333" s="38"/>
      <c r="E333" s="38"/>
      <c r="F333" s="38"/>
      <c r="G333" s="336"/>
      <c r="H333" s="192"/>
      <c r="I333" s="337"/>
      <c r="J333" s="335"/>
      <c r="K333" s="337"/>
      <c r="L333" s="109"/>
      <c r="M333" s="109"/>
    </row>
    <row r="334" spans="1:13" s="24" customFormat="1" ht="15">
      <c r="A334" s="42"/>
      <c r="B334" s="43"/>
      <c r="C334" s="332" t="s">
        <v>545</v>
      </c>
      <c r="D334" s="38"/>
      <c r="G334" s="333" t="s">
        <v>542</v>
      </c>
      <c r="H334" s="45"/>
      <c r="I334" s="334">
        <f>'BẢNG CÂN ĐỐI KẾ TOÁN'!D64/'BẢNG CÂN ĐỐI KẾ TOÁN'!D105</f>
        <v>0.34918780283468376</v>
      </c>
      <c r="J334" s="338"/>
      <c r="K334" s="334">
        <f>'BẢNG CÂN ĐỐI KẾ TOÁN'!E64/'BẢNG CÂN ĐỐI KẾ TOÁN'!E105</f>
        <v>0.3965565744524234</v>
      </c>
      <c r="L334" s="109"/>
      <c r="M334" s="109"/>
    </row>
    <row r="335" spans="1:13" s="24" customFormat="1" ht="15">
      <c r="A335" s="42"/>
      <c r="B335" s="43"/>
      <c r="C335" s="332" t="s">
        <v>546</v>
      </c>
      <c r="D335" s="38"/>
      <c r="G335" s="333" t="s">
        <v>542</v>
      </c>
      <c r="H335" s="45"/>
      <c r="I335" s="334">
        <f>'BẢNG CÂN ĐỐI KẾ TOÁN'!D87/'BẢNG CÂN ĐỐI KẾ TOÁN'!D105</f>
        <v>0.6508121971653162</v>
      </c>
      <c r="J335" s="339"/>
      <c r="K335" s="334">
        <f>'BẢNG CÂN ĐỐI KẾ TOÁN'!E87/'BẢNG CÂN ĐỐI KẾ TOÁN'!E105</f>
        <v>0.6034434255475766</v>
      </c>
      <c r="L335" s="109"/>
      <c r="M335" s="109"/>
    </row>
    <row r="336" spans="1:13" s="24" customFormat="1" ht="15">
      <c r="A336" s="42"/>
      <c r="B336" s="43"/>
      <c r="C336" s="323" t="s">
        <v>547</v>
      </c>
      <c r="D336" s="38"/>
      <c r="G336" s="336"/>
      <c r="H336" s="45"/>
      <c r="I336" s="337"/>
      <c r="J336" s="335"/>
      <c r="K336" s="337"/>
      <c r="L336" s="109"/>
      <c r="M336" s="109"/>
    </row>
    <row r="337" spans="1:13" s="24" customFormat="1" ht="15">
      <c r="A337" s="42"/>
      <c r="B337" s="43"/>
      <c r="C337" s="332" t="s">
        <v>548</v>
      </c>
      <c r="D337" s="38"/>
      <c r="G337" s="333" t="s">
        <v>549</v>
      </c>
      <c r="H337" s="45"/>
      <c r="I337" s="334">
        <f>'BẢNG CÂN ĐỐI KẾ TOÁN'!D62/'BẢNG CÂN ĐỐI KẾ TOÁN'!D64</f>
        <v>2.863788459625638</v>
      </c>
      <c r="J337" s="339"/>
      <c r="K337" s="334">
        <f>'BẢNG CÂN ĐỐI KẾ TOÁN'!E62/'BẢNG CÂN ĐỐI KẾ TOÁN'!E64</f>
        <v>2.5217082868461542</v>
      </c>
      <c r="L337" s="109"/>
      <c r="M337" s="109"/>
    </row>
    <row r="338" spans="1:13" s="24" customFormat="1" ht="15">
      <c r="A338" s="42"/>
      <c r="B338" s="43"/>
      <c r="C338" s="340" t="s">
        <v>550</v>
      </c>
      <c r="D338" s="38"/>
      <c r="G338" s="333"/>
      <c r="H338" s="45"/>
      <c r="I338" s="334"/>
      <c r="J338" s="339"/>
      <c r="K338" s="334"/>
      <c r="L338" s="109"/>
      <c r="M338" s="109"/>
    </row>
    <row r="339" spans="1:13" s="24" customFormat="1" ht="15">
      <c r="A339" s="42"/>
      <c r="B339" s="43"/>
      <c r="C339" s="332" t="s">
        <v>551</v>
      </c>
      <c r="D339" s="38"/>
      <c r="G339" s="333" t="s">
        <v>549</v>
      </c>
      <c r="H339" s="45"/>
      <c r="I339" s="334">
        <f>'BẢNG CÂN ĐỐI KẾ TOÁN'!D9/'BẢNG CÂN ĐỐI KẾ TOÁN'!D64</f>
        <v>1.826888695431007</v>
      </c>
      <c r="J339" s="339"/>
      <c r="K339" s="334">
        <f>'BẢNG CÂN ĐỐI KẾ TOÁN'!E9/'BẢNG CÂN ĐỐI KẾ TOÁN'!E64</f>
        <v>1.6069324239066538</v>
      </c>
      <c r="L339" s="109"/>
      <c r="M339" s="109"/>
    </row>
    <row r="340" spans="1:13" s="24" customFormat="1" ht="15">
      <c r="A340" s="42"/>
      <c r="B340" s="43"/>
      <c r="C340" s="340" t="s">
        <v>552</v>
      </c>
      <c r="D340" s="38"/>
      <c r="G340" s="333"/>
      <c r="H340" s="45"/>
      <c r="I340" s="334"/>
      <c r="J340" s="339"/>
      <c r="K340" s="334"/>
      <c r="L340" s="109"/>
      <c r="M340" s="109"/>
    </row>
    <row r="341" spans="1:13" s="24" customFormat="1" ht="15">
      <c r="A341" s="42"/>
      <c r="B341" s="43"/>
      <c r="C341" s="332" t="s">
        <v>553</v>
      </c>
      <c r="D341" s="38"/>
      <c r="G341" s="333" t="s">
        <v>549</v>
      </c>
      <c r="H341" s="45"/>
      <c r="I341" s="334">
        <f>'BẢNG CÂN ĐỐI KẾ TOÁN'!D10/'BẢNG CÂN ĐỐI KẾ TOÁN'!D65</f>
        <v>0.05073434514311241</v>
      </c>
      <c r="J341" s="339"/>
      <c r="K341" s="334">
        <f>'BẢNG CÂN ĐỐI KẾ TOÁN'!E10/'BẢNG CÂN ĐỐI KẾ TOÁN'!E65</f>
        <v>0.1216727525344462</v>
      </c>
      <c r="L341" s="109"/>
      <c r="M341" s="109"/>
    </row>
    <row r="342" spans="1:13" s="24" customFormat="1" ht="15">
      <c r="A342" s="42"/>
      <c r="B342" s="43"/>
      <c r="C342" s="340" t="s">
        <v>554</v>
      </c>
      <c r="D342" s="38"/>
      <c r="G342" s="333"/>
      <c r="H342" s="45"/>
      <c r="I342" s="341"/>
      <c r="J342" s="335"/>
      <c r="K342" s="341"/>
      <c r="L342" s="109"/>
      <c r="M342" s="109"/>
    </row>
    <row r="343" spans="1:13" s="24" customFormat="1" ht="15">
      <c r="A343" s="42"/>
      <c r="B343" s="43"/>
      <c r="C343" s="323" t="s">
        <v>555</v>
      </c>
      <c r="D343" s="38"/>
      <c r="E343" s="38"/>
      <c r="F343" s="38"/>
      <c r="G343" s="336"/>
      <c r="H343" s="192"/>
      <c r="I343" s="337"/>
      <c r="J343" s="342"/>
      <c r="K343" s="337"/>
      <c r="L343" s="109"/>
      <c r="M343" s="109"/>
    </row>
    <row r="344" spans="1:13" s="24" customFormat="1" ht="15">
      <c r="A344" s="42"/>
      <c r="B344" s="43"/>
      <c r="C344" s="328" t="s">
        <v>556</v>
      </c>
      <c r="D344" s="38"/>
      <c r="E344" s="38"/>
      <c r="F344" s="38"/>
      <c r="G344" s="333"/>
      <c r="H344" s="192"/>
      <c r="I344" s="341"/>
      <c r="J344" s="335"/>
      <c r="K344" s="341"/>
      <c r="L344" s="109"/>
      <c r="M344" s="109"/>
    </row>
    <row r="345" spans="1:13" s="24" customFormat="1" ht="15">
      <c r="A345" s="42"/>
      <c r="B345" s="43"/>
      <c r="C345" s="332" t="s">
        <v>557</v>
      </c>
      <c r="D345" s="38"/>
      <c r="E345" s="38"/>
      <c r="F345" s="38"/>
      <c r="G345" s="333" t="s">
        <v>542</v>
      </c>
      <c r="H345" s="192"/>
      <c r="I345" s="343">
        <f>'KQKD '!D23/'KQKD '!D8</f>
        <v>0.07274509612972478</v>
      </c>
      <c r="J345" s="339"/>
      <c r="K345" s="343"/>
      <c r="L345" s="109"/>
      <c r="M345" s="109"/>
    </row>
    <row r="346" spans="1:13" s="24" customFormat="1" ht="15">
      <c r="A346" s="42"/>
      <c r="B346" s="43"/>
      <c r="C346" s="332" t="s">
        <v>558</v>
      </c>
      <c r="D346" s="38"/>
      <c r="E346" s="38"/>
      <c r="F346" s="38"/>
      <c r="G346" s="333" t="s">
        <v>542</v>
      </c>
      <c r="H346" s="192"/>
      <c r="I346" s="343">
        <f>'KQKD '!D26/'KQKD '!D8</f>
        <v>0.05407805604608581</v>
      </c>
      <c r="J346" s="339"/>
      <c r="K346" s="343"/>
      <c r="L346" s="109"/>
      <c r="M346" s="109"/>
    </row>
    <row r="347" spans="1:13" s="24" customFormat="1" ht="15">
      <c r="A347" s="42"/>
      <c r="B347" s="43"/>
      <c r="C347" s="328" t="s">
        <v>559</v>
      </c>
      <c r="D347" s="38"/>
      <c r="G347" s="333"/>
      <c r="H347" s="45"/>
      <c r="I347" s="341"/>
      <c r="J347" s="335"/>
      <c r="K347" s="341"/>
      <c r="L347" s="109"/>
      <c r="M347" s="109"/>
    </row>
    <row r="348" spans="1:13" s="24" customFormat="1" ht="15">
      <c r="A348" s="42"/>
      <c r="B348" s="43"/>
      <c r="C348" s="332" t="s">
        <v>560</v>
      </c>
      <c r="D348" s="38"/>
      <c r="G348" s="333" t="s">
        <v>542</v>
      </c>
      <c r="H348" s="45"/>
      <c r="I348" s="343">
        <f>'[3]DN - BÁO CÁO KẾT QUẢ KINH DOANH'!$D$23/'[2]BẢNG CÂN ĐỐI KẾ TOÁN'!$D$62</f>
        <v>-0.0002856293372129176</v>
      </c>
      <c r="J348" s="339"/>
      <c r="K348" s="343">
        <f>'[3]DN - BÁO CÁO KẾT QUẢ KINH DOANH'!$F$23/'[2]BẢNG CÂN ĐỐI KẾ TOÁN'!$D$62</f>
        <v>0.0039293117596380725</v>
      </c>
      <c r="L348" s="109"/>
      <c r="M348" s="109"/>
    </row>
    <row r="349" spans="1:13" s="24" customFormat="1" ht="15">
      <c r="A349" s="42"/>
      <c r="B349" s="43"/>
      <c r="C349" s="332" t="s">
        <v>561</v>
      </c>
      <c r="D349" s="38"/>
      <c r="G349" s="333" t="s">
        <v>542</v>
      </c>
      <c r="H349" s="45"/>
      <c r="I349" s="343">
        <f>'[3]DN - BÁO CÁO KẾT QUẢ KINH DOANH'!$D$26/'[2]BẢNG CÂN ĐỐI KẾ TOÁN'!$D$62</f>
        <v>-0.0012679572759296712</v>
      </c>
      <c r="J349" s="339"/>
      <c r="K349" s="343">
        <f>'[3]DN - BÁO CÁO KẾT QUẢ KINH DOANH'!$F$26/'[2]BẢNG CÂN ĐỐI KẾ TOÁN'!$D$62</f>
        <v>0.0029469838209213186</v>
      </c>
      <c r="L349" s="109"/>
      <c r="M349" s="109"/>
    </row>
    <row r="350" spans="1:13" s="24" customFormat="1" ht="15">
      <c r="A350" s="42"/>
      <c r="B350" s="43"/>
      <c r="C350" s="332"/>
      <c r="D350" s="38"/>
      <c r="G350" s="344"/>
      <c r="H350" s="45"/>
      <c r="I350" s="327"/>
      <c r="J350" s="326"/>
      <c r="K350" s="327"/>
      <c r="L350" s="109"/>
      <c r="M350" s="109"/>
    </row>
    <row r="351" spans="1:13" s="24" customFormat="1" ht="15">
      <c r="A351" s="42"/>
      <c r="B351" s="43"/>
      <c r="C351" s="345" t="s">
        <v>562</v>
      </c>
      <c r="D351" s="30"/>
      <c r="E351" s="30"/>
      <c r="F351" s="30"/>
      <c r="G351" s="346" t="s">
        <v>542</v>
      </c>
      <c r="H351" s="347"/>
      <c r="I351" s="348"/>
      <c r="J351" s="349"/>
      <c r="K351" s="350"/>
      <c r="L351" s="109"/>
      <c r="M351" s="109"/>
    </row>
    <row r="352" spans="1:13" s="24" customFormat="1" ht="14.25">
      <c r="A352" s="54"/>
      <c r="C352" s="55"/>
      <c r="G352" s="216"/>
      <c r="H352" s="45"/>
      <c r="I352" s="126"/>
      <c r="J352" s="57"/>
      <c r="K352" s="76"/>
      <c r="L352" s="109"/>
      <c r="M352" s="109"/>
    </row>
    <row r="353" spans="7:11" ht="15">
      <c r="G353" s="45"/>
      <c r="H353" s="45"/>
      <c r="I353" s="379" t="s">
        <v>579</v>
      </c>
      <c r="J353" s="379"/>
      <c r="K353" s="379"/>
    </row>
    <row r="354" spans="1:11" s="198" customFormat="1" ht="14.25">
      <c r="A354" s="193"/>
      <c r="B354" s="194"/>
      <c r="C354" s="195" t="s">
        <v>259</v>
      </c>
      <c r="D354" s="196"/>
      <c r="E354" s="195" t="s">
        <v>469</v>
      </c>
      <c r="F354" s="195" t="s">
        <v>261</v>
      </c>
      <c r="G354" s="197"/>
      <c r="H354" s="197"/>
      <c r="I354" s="380" t="s">
        <v>263</v>
      </c>
      <c r="J354" s="380"/>
      <c r="K354" s="380"/>
    </row>
    <row r="355" spans="3:11" ht="15">
      <c r="C355" s="199"/>
      <c r="D355" s="38"/>
      <c r="E355" s="38"/>
      <c r="F355" s="38"/>
      <c r="G355" s="192"/>
      <c r="H355" s="192"/>
      <c r="I355" s="200"/>
      <c r="J355" s="201"/>
      <c r="K355" s="202"/>
    </row>
    <row r="356" spans="3:11" ht="15">
      <c r="C356" s="199"/>
      <c r="D356" s="38"/>
      <c r="E356" s="38"/>
      <c r="F356" s="38"/>
      <c r="G356" s="192"/>
      <c r="H356" s="192"/>
      <c r="I356" s="200"/>
      <c r="J356" s="201"/>
      <c r="K356" s="202"/>
    </row>
    <row r="357" spans="3:11" ht="15">
      <c r="C357" s="199"/>
      <c r="D357" s="38"/>
      <c r="E357" s="38"/>
      <c r="F357" s="38"/>
      <c r="G357" s="192"/>
      <c r="H357" s="192"/>
      <c r="I357" s="200"/>
      <c r="J357" s="201"/>
      <c r="K357" s="202"/>
    </row>
    <row r="358" spans="3:11" ht="15">
      <c r="C358" s="199"/>
      <c r="D358" s="38"/>
      <c r="E358" s="38"/>
      <c r="F358" s="38"/>
      <c r="G358" s="192"/>
      <c r="H358" s="192"/>
      <c r="I358" s="200"/>
      <c r="J358" s="201"/>
      <c r="K358" s="202"/>
    </row>
    <row r="359" spans="3:11" ht="15">
      <c r="C359" s="199"/>
      <c r="D359" s="38"/>
      <c r="E359" s="38"/>
      <c r="F359" s="38"/>
      <c r="G359" s="192"/>
      <c r="H359" s="192"/>
      <c r="I359" s="200"/>
      <c r="J359" s="201"/>
      <c r="K359" s="202"/>
    </row>
    <row r="360" spans="1:11" s="66" customFormat="1" ht="15">
      <c r="A360" s="6"/>
      <c r="B360" s="70"/>
      <c r="C360" s="203" t="s">
        <v>260</v>
      </c>
      <c r="D360" s="37"/>
      <c r="E360" s="203" t="s">
        <v>470</v>
      </c>
      <c r="F360" s="204" t="s">
        <v>262</v>
      </c>
      <c r="G360" s="65"/>
      <c r="H360" s="65"/>
      <c r="I360" s="378" t="s">
        <v>264</v>
      </c>
      <c r="J360" s="378"/>
      <c r="K360" s="378"/>
    </row>
  </sheetData>
  <mergeCells count="15">
    <mergeCell ref="C89:E89"/>
    <mergeCell ref="C96:E96"/>
    <mergeCell ref="I1:K1"/>
    <mergeCell ref="I2:K2"/>
    <mergeCell ref="I3:K3"/>
    <mergeCell ref="A7:K7"/>
    <mergeCell ref="L3:N3"/>
    <mergeCell ref="I360:K360"/>
    <mergeCell ref="I353:K353"/>
    <mergeCell ref="I354:K354"/>
    <mergeCell ref="C226:G226"/>
    <mergeCell ref="C292:G292"/>
    <mergeCell ref="C55:E55"/>
    <mergeCell ref="C80:E80"/>
    <mergeCell ref="C327:K327"/>
  </mergeCells>
  <printOptions/>
  <pageMargins left="0.21" right="0.19" top="0.35" bottom="0.2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2012-10-18T06:30:09Z</cp:lastPrinted>
  <dcterms:created xsi:type="dcterms:W3CDTF">2011-01-11T01:32:30Z</dcterms:created>
  <dcterms:modified xsi:type="dcterms:W3CDTF">2012-10-18T06:33:29Z</dcterms:modified>
  <cp:category/>
  <cp:version/>
  <cp:contentType/>
  <cp:contentStatus/>
</cp:coreProperties>
</file>